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2" activeTab="0"/>
  </bookViews>
  <sheets>
    <sheet name="Budsjettanalyse" sheetId="1" r:id="rId1"/>
    <sheet name="Budsjett_enkel" sheetId="2" r:id="rId2"/>
    <sheet name="FinansFond" sheetId="3" r:id="rId3"/>
    <sheet name="Oversikt Variabler" sheetId="4" r:id="rId4"/>
    <sheet name="Oversikt Pris" sheetId="5" r:id="rId5"/>
    <sheet name="Sentralt" sheetId="6" r:id="rId6"/>
    <sheet name="Program" sheetId="7" r:id="rId7"/>
    <sheet name="Prosjekter" sheetId="8" r:id="rId8"/>
    <sheet name="Komiteer" sheetId="9" r:id="rId9"/>
    <sheet name="Noter etter endring" sheetId="10" r:id="rId10"/>
  </sheets>
  <definedNames/>
  <calcPr fullCalcOnLoad="1"/>
</workbook>
</file>

<file path=xl/sharedStrings.xml><?xml version="1.0" encoding="utf-8"?>
<sst xmlns="http://schemas.openxmlformats.org/spreadsheetml/2006/main" count="805" uniqueCount="453">
  <si>
    <t>CISV NORGE 2015 BUDSJETT</t>
  </si>
  <si>
    <t>Budsjett 16</t>
  </si>
  <si>
    <t>Regnskap 16</t>
  </si>
  <si>
    <t>Budsjett 15</t>
  </si>
  <si>
    <t>Regnskap 15</t>
  </si>
  <si>
    <t>Regnskap 14</t>
  </si>
  <si>
    <t>Diff Regn-Bud 2015</t>
  </si>
  <si>
    <t>Diff %</t>
  </si>
  <si>
    <t xml:space="preserve">CISV Norge 2016 - Inntekter </t>
  </si>
  <si>
    <t>Salgsinntekter, høy mva</t>
  </si>
  <si>
    <t>Varesalg</t>
  </si>
  <si>
    <t>Salgsinntekter, avgiftsfrie</t>
  </si>
  <si>
    <t>Salgsinntekter</t>
  </si>
  <si>
    <t>Andre driftsrelaterte inntekter</t>
  </si>
  <si>
    <t>Momskompensasjon Inntekt</t>
  </si>
  <si>
    <t>Grunnstøtte BUFDIR</t>
  </si>
  <si>
    <t>LNU Midler</t>
  </si>
  <si>
    <t>Internasjonal avgift</t>
  </si>
  <si>
    <t>Frifondmidler</t>
  </si>
  <si>
    <t>Verden i - UDI Støtte</t>
  </si>
  <si>
    <t>Medlemskontingent</t>
  </si>
  <si>
    <t>Annen driftsinntekt</t>
  </si>
  <si>
    <t>SUM Inntekt</t>
  </si>
  <si>
    <t>CISV Norge 2016 -Kostnader</t>
  </si>
  <si>
    <t>Diff Regn-Bud 2016</t>
  </si>
  <si>
    <t>Varekjøp</t>
  </si>
  <si>
    <t>Leirstøtte til fylkeslagene</t>
  </si>
  <si>
    <t>Deltakeravgifter</t>
  </si>
  <si>
    <t>Momskompensasjon UT</t>
  </si>
  <si>
    <t>Utbetaling medlemskontingengt til lokallagene</t>
  </si>
  <si>
    <t>Verden i - overføring til lokallag</t>
  </si>
  <si>
    <t>Varekostnad</t>
  </si>
  <si>
    <t>Lønn</t>
  </si>
  <si>
    <t>Prosjektlønn</t>
  </si>
  <si>
    <t>Lommepenger mm (EVS, FK)</t>
  </si>
  <si>
    <t>Faste lønninger</t>
  </si>
  <si>
    <t>Påløpne feriepenger</t>
  </si>
  <si>
    <t>Fri losji og bolig</t>
  </si>
  <si>
    <t>Andre fordeler i arbeidsforhold</t>
  </si>
  <si>
    <t>Arbeidsgiveravgift</t>
  </si>
  <si>
    <t>Arb.giv.avg.pål.feriep.</t>
  </si>
  <si>
    <t>Personalforsikring</t>
  </si>
  <si>
    <t>Innskuddspensjon</t>
  </si>
  <si>
    <t>Diverse lønnskostnader</t>
  </si>
  <si>
    <t>Lønnskostnad</t>
  </si>
  <si>
    <t>Kontorleie</t>
  </si>
  <si>
    <t>Leie lokaler</t>
  </si>
  <si>
    <t>Lys, varme</t>
  </si>
  <si>
    <t>Leie andre kontormaskiner</t>
  </si>
  <si>
    <t>Driftsmaterialer</t>
  </si>
  <si>
    <t>Rekvisita - utstyr</t>
  </si>
  <si>
    <t>Revisjons- og regnskapshonorar</t>
  </si>
  <si>
    <t>Honorar for økonomisk &amp; juridisk bistand</t>
  </si>
  <si>
    <t>Kontorrekvisita</t>
  </si>
  <si>
    <t>Datatjenester</t>
  </si>
  <si>
    <t>Trykksaker</t>
  </si>
  <si>
    <t>Aviser, tidsskrifter, bøker mv</t>
  </si>
  <si>
    <t>Møter, kurs, oppdatering mv.</t>
  </si>
  <si>
    <t>Mat/servering</t>
  </si>
  <si>
    <t>Telefon</t>
  </si>
  <si>
    <t>Porto</t>
  </si>
  <si>
    <t>Gaver</t>
  </si>
  <si>
    <t>Drivstoff</t>
  </si>
  <si>
    <t>Forsikringer</t>
  </si>
  <si>
    <t>Øreavrunding</t>
  </si>
  <si>
    <t>Reisekostnader, ikke oppgavepliktig</t>
  </si>
  <si>
    <t>Overnatting/hotell</t>
  </si>
  <si>
    <t>Representasjon, ikke fradragsberettiget</t>
  </si>
  <si>
    <t>Lisensavigter og royalties</t>
  </si>
  <si>
    <t>Medlemskontingenter</t>
  </si>
  <si>
    <t>Prosjektkoordinering</t>
  </si>
  <si>
    <t>Tilbakebetaling ubrukte prosjektmidler</t>
  </si>
  <si>
    <t>Diverse utgifter</t>
  </si>
  <si>
    <t>Forbruk varer</t>
  </si>
  <si>
    <t>Bank og kortgebyrer</t>
  </si>
  <si>
    <t>Tapsføring eiendeler</t>
  </si>
  <si>
    <t>Tap på fordringer</t>
  </si>
  <si>
    <t>Annen driftskostnad</t>
  </si>
  <si>
    <t>SUM Kostnad</t>
  </si>
  <si>
    <t>Driftsresultat</t>
  </si>
  <si>
    <t>Renteinntekter, skattefrie</t>
  </si>
  <si>
    <t>Annen renteinntekt</t>
  </si>
  <si>
    <t>Nedskrivning av finansielle omløpsmidler</t>
  </si>
  <si>
    <t>Rentekostnader, ikke fradragsberettigede</t>
  </si>
  <si>
    <t>Finanskostnader</t>
  </si>
  <si>
    <t>Årsresultat</t>
  </si>
  <si>
    <t>Disponeringer</t>
  </si>
  <si>
    <t>Avbestillingsforsikring</t>
  </si>
  <si>
    <t>Internasjonale leirer (delegasjonsfondet)</t>
  </si>
  <si>
    <t>Øst Europa</t>
  </si>
  <si>
    <t>STAI Fondet</t>
  </si>
  <si>
    <t>Reservefond</t>
  </si>
  <si>
    <t>Annen egenkapital</t>
  </si>
  <si>
    <t>SUM avsetninger</t>
  </si>
  <si>
    <t>Avsatt fri egenkapital</t>
  </si>
  <si>
    <t xml:space="preserve">Konto </t>
  </si>
  <si>
    <t>Kontonavn</t>
  </si>
  <si>
    <t>Totalt</t>
  </si>
  <si>
    <t>Sentralt</t>
  </si>
  <si>
    <t>Program</t>
  </si>
  <si>
    <t>Komiteer</t>
  </si>
  <si>
    <t>Prosjekter</t>
  </si>
  <si>
    <t>Budsjett 2016</t>
  </si>
  <si>
    <t>Diff bud 2016 rsm, budsjett 2016 LM</t>
  </si>
  <si>
    <t>Budsjett 2016 rsm</t>
  </si>
  <si>
    <t>Budsjett</t>
  </si>
  <si>
    <t>Regnskap</t>
  </si>
  <si>
    <t>Inntekter</t>
  </si>
  <si>
    <t>Momskompensasjon</t>
  </si>
  <si>
    <t>Verden i - UDI støtte</t>
  </si>
  <si>
    <t>DRIFTSINNTEKTER</t>
  </si>
  <si>
    <t>Kostnader</t>
  </si>
  <si>
    <t>Leirstøtte</t>
  </si>
  <si>
    <t>Netto Internasjonal avgift</t>
  </si>
  <si>
    <t>Utbetaling medlemskontingent</t>
  </si>
  <si>
    <t>Lommepenger (EVS+FK)</t>
  </si>
  <si>
    <t>Fri Losji og bolig</t>
  </si>
  <si>
    <t>Arb.giv.avg pål. Feriep.</t>
  </si>
  <si>
    <t>Lønnskostnader</t>
  </si>
  <si>
    <t>Revisjons og regnskap</t>
  </si>
  <si>
    <t>Honorar for økonomisk &amp; juridisk</t>
  </si>
  <si>
    <t>Aviser, tiddskrifter, bøker mv.</t>
  </si>
  <si>
    <t>Møter, kurs, oppdatering</t>
  </si>
  <si>
    <t>Reisekostnader, ikke oppg. Plikt</t>
  </si>
  <si>
    <t>Representasjon, ikke fradragsbe</t>
  </si>
  <si>
    <t>Lisensavgifter og royalties</t>
  </si>
  <si>
    <t>Tapsføring eiendel</t>
  </si>
  <si>
    <t>SUM Driftskostnader</t>
  </si>
  <si>
    <t>Andre finanskostnader</t>
  </si>
  <si>
    <t>SUM Finanskostnader</t>
  </si>
  <si>
    <t>Resultat før årsoppgjørsdisp.</t>
  </si>
  <si>
    <t>Sum disposisjoner</t>
  </si>
  <si>
    <t>Delegasjonsfondet</t>
  </si>
  <si>
    <t>=</t>
  </si>
  <si>
    <t>Østeuropafondet</t>
  </si>
  <si>
    <t>Staifondet</t>
  </si>
  <si>
    <t>Sum avsetninger</t>
  </si>
  <si>
    <t>FINANSINNTEKTER 2016</t>
  </si>
  <si>
    <t>Finansinntekter</t>
  </si>
  <si>
    <t>Sum finansinntekter</t>
  </si>
  <si>
    <t>AVSETNING TIL FOND 2016</t>
  </si>
  <si>
    <t>PUNDKURS</t>
  </si>
  <si>
    <t>Pundkursen (Mot Fylkeslag)</t>
  </si>
  <si>
    <t>Pundkursen (Mot CISV International)</t>
  </si>
  <si>
    <t>DIVERS AVGIFTER</t>
  </si>
  <si>
    <t>valuta</t>
  </si>
  <si>
    <t>£ pr døgn pr deltaker (untatt IPP)</t>
  </si>
  <si>
    <t>Disse opplysningene hentes fra "C-10" hos CISV International Resources</t>
  </si>
  <si>
    <t xml:space="preserve">Internasjonal forsikring </t>
  </si>
  <si>
    <t>£ per deltager</t>
  </si>
  <si>
    <t>Internasjonal avgift - IPP</t>
  </si>
  <si>
    <t>£ pr døgn pr deltaker</t>
  </si>
  <si>
    <t>Internasjonal avgift - Interchange</t>
  </si>
  <si>
    <t>£ pr. deltaker</t>
  </si>
  <si>
    <t>Internasjonal avgift - Global Conference costsharing</t>
  </si>
  <si>
    <t>£ pr. fylkeslag og NA</t>
  </si>
  <si>
    <t>Internasjonal avgift - Chapter fee</t>
  </si>
  <si>
    <t xml:space="preserve">£ pr. fylkeslag   </t>
  </si>
  <si>
    <t>Internasjonal avgift - NA Membership</t>
  </si>
  <si>
    <t>£ for CISV Norge</t>
  </si>
  <si>
    <t>Internasjonal ansvarsforsikring</t>
  </si>
  <si>
    <t>Er nå inkludert i internasjonal avgift</t>
  </si>
  <si>
    <t>Nasjonal avgift</t>
  </si>
  <si>
    <t>kroner</t>
  </si>
  <si>
    <t>Norge</t>
  </si>
  <si>
    <t>Nasjonal avbestillingsforsikring</t>
  </si>
  <si>
    <t>Effektpakker</t>
  </si>
  <si>
    <t>Ledertrening - Barneleir</t>
  </si>
  <si>
    <t>pr delegat</t>
  </si>
  <si>
    <t>Ledertrening - JC</t>
  </si>
  <si>
    <t>pr JC</t>
  </si>
  <si>
    <t>Ledertrening - Step-Up</t>
  </si>
  <si>
    <t>Delegattrening - Step-Up</t>
  </si>
  <si>
    <t>Ledertrening - Interchange</t>
  </si>
  <si>
    <t>Ledertrening - Youth Meeting</t>
  </si>
  <si>
    <t>Delegattrening - Youth Meeting (ind, 16-18)</t>
  </si>
  <si>
    <t>Delegattrening - Youth Meeting (14-15 år))</t>
  </si>
  <si>
    <t>Delegattrening - IPP</t>
  </si>
  <si>
    <t>Delegattrening - Seminar</t>
  </si>
  <si>
    <t>Antall Program og Personer 2016</t>
  </si>
  <si>
    <t>Norden</t>
  </si>
  <si>
    <t>Europa</t>
  </si>
  <si>
    <t>USA/Canada</t>
  </si>
  <si>
    <t>Verden for øvrig</t>
  </si>
  <si>
    <t>Barneleir Delegasjoner</t>
  </si>
  <si>
    <t>Barneleir JC</t>
  </si>
  <si>
    <t>Egne Barneleirer</t>
  </si>
  <si>
    <t>Step-Up Delegasjoner</t>
  </si>
  <si>
    <t>Egne Step-Up</t>
  </si>
  <si>
    <t>Interchange Delegasjoner</t>
  </si>
  <si>
    <t>Youth Meeting Delegasjoner 8 dager (12-13 år)</t>
  </si>
  <si>
    <t>Youth Meeting Delegasjoner 15 dager (12-13 år)</t>
  </si>
  <si>
    <t>Youth Meeting Delegasjoner 8 dager (14-15 år)</t>
  </si>
  <si>
    <t>Youth Meeting Delegasjoner 15 dager (14-15 år)</t>
  </si>
  <si>
    <t>Youth Meeting Individuell 8 dager</t>
  </si>
  <si>
    <t>Youth Meeting Individuell 15 dager</t>
  </si>
  <si>
    <t xml:space="preserve">Egne YM 8-dager </t>
  </si>
  <si>
    <t>Egne YM 15-dager</t>
  </si>
  <si>
    <t>Seminarleirdelegater</t>
  </si>
  <si>
    <t>Egne Seminarleirer</t>
  </si>
  <si>
    <t xml:space="preserve"> </t>
  </si>
  <si>
    <t>IPP-delegater 14-18 dager</t>
  </si>
  <si>
    <t>IPP-delegater 19-23 dager</t>
  </si>
  <si>
    <t>Egne IPP 14-18 dager</t>
  </si>
  <si>
    <t>Antall deltakere 14-18 dager</t>
  </si>
  <si>
    <t>Egne IPP 19-23 dager</t>
  </si>
  <si>
    <t>Antall deltakere 19-23 dager</t>
  </si>
  <si>
    <t>LEIRSTØTTE FRA INTERNATIONAL OFFICE</t>
  </si>
  <si>
    <t>Barneleir (inkl. JC)</t>
  </si>
  <si>
    <t>£ pr leir</t>
  </si>
  <si>
    <t>Disse opplysningene hentes fra "C-10" hos CISV International Resources. Dette inntektsføres ikke, men brukes som rabatt mot kostnadene av internasjonale avgifter</t>
  </si>
  <si>
    <t>«Portion given to host NA/Total FEE*daily rate»</t>
  </si>
  <si>
    <t>Step-Up</t>
  </si>
  <si>
    <t>IPP</t>
  </si>
  <si>
    <t>Youth Meeting</t>
  </si>
  <si>
    <t>Seminarleir</t>
  </si>
  <si>
    <t>Andel av deltageravgift som leirstøtte fra IO</t>
  </si>
  <si>
    <t>LEIRSTØTTE FRA CISV NORGE</t>
  </si>
  <si>
    <t>Barneleir</t>
  </si>
  <si>
    <t>kr</t>
  </si>
  <si>
    <t>Youth Meeting - 8dager</t>
  </si>
  <si>
    <t>Youth Meeting - 15dager</t>
  </si>
  <si>
    <t>Reisestøtte - Barneleir</t>
  </si>
  <si>
    <t>Delegasjoner - Finnmark</t>
  </si>
  <si>
    <t>Delegasjoner</t>
  </si>
  <si>
    <t>Støtte pr delegasjon</t>
  </si>
  <si>
    <t>Delegasjoner - Troms</t>
  </si>
  <si>
    <t>Delegasjoner - Sogn&amp;Fjordane</t>
  </si>
  <si>
    <t>Reisestøtte - Step-up</t>
  </si>
  <si>
    <t>TRENING</t>
  </si>
  <si>
    <t>Reise</t>
  </si>
  <si>
    <t>Kost</t>
  </si>
  <si>
    <t>Deltakelse</t>
  </si>
  <si>
    <t>NEO</t>
  </si>
  <si>
    <t>LTS</t>
  </si>
  <si>
    <t>STAS</t>
  </si>
  <si>
    <t>SUDT</t>
  </si>
  <si>
    <t>Delegattrening – YM (14-15)</t>
  </si>
  <si>
    <t>Leir Kick-Off</t>
  </si>
  <si>
    <t>NJC/Seminarleirtrening</t>
  </si>
  <si>
    <t>INTERNASJONAL DRIFTSSTØTTE (BUFDIR)</t>
  </si>
  <si>
    <t>NASJONAL DRIFTSTØTTE (BUFDIR)</t>
  </si>
  <si>
    <t>Totalt tilskudd</t>
  </si>
  <si>
    <t>Går til internasjonale program</t>
  </si>
  <si>
    <t>&lt;--- skal stemme med kostutjevning under program</t>
  </si>
  <si>
    <t>Går til nasjonalt arbeid / sentralfanen</t>
  </si>
  <si>
    <t>Antall int. Deltakere</t>
  </si>
  <si>
    <t>Gjennomsnitt støtte pr int. Deltaker</t>
  </si>
  <si>
    <t>Støtte pr int. Deltaker</t>
  </si>
  <si>
    <t>BARNELEIR</t>
  </si>
  <si>
    <t>Priser 2015</t>
  </si>
  <si>
    <t>Delegat/
Person</t>
  </si>
  <si>
    <t>Priser 2016</t>
  </si>
  <si>
    <t>Prisberegning</t>
  </si>
  <si>
    <t>Verden</t>
  </si>
  <si>
    <t>JC</t>
  </si>
  <si>
    <t>Delegasjon</t>
  </si>
  <si>
    <t>Nasjonal forsikring</t>
  </si>
  <si>
    <t>Pris pr delegasjon/delegat - Norden</t>
  </si>
  <si>
    <t>Effektpakke</t>
  </si>
  <si>
    <t>-</t>
  </si>
  <si>
    <t>Pris pr delegasjon/delegat - Europa</t>
  </si>
  <si>
    <t xml:space="preserve">Ledertrening </t>
  </si>
  <si>
    <t>Pris pr delegasjon/delegat - USA/Canada</t>
  </si>
  <si>
    <t>Ledertrening JC</t>
  </si>
  <si>
    <t>Pris pr delegasjon/delegat - Verden for øvrig</t>
  </si>
  <si>
    <t>Pris pr JC:</t>
  </si>
  <si>
    <t>Internasjonal forsikring</t>
  </si>
  <si>
    <t>Sum</t>
  </si>
  <si>
    <t>Kostutjevning</t>
  </si>
  <si>
    <t>Pris pr. person</t>
  </si>
  <si>
    <t>STEP-UP</t>
  </si>
  <si>
    <t>Interchange</t>
  </si>
  <si>
    <t>Pris pr delegasjon/delegat</t>
  </si>
  <si>
    <t>Delegattrening</t>
  </si>
  <si>
    <t>Pris pr delegasjon/delegat - Delegasjon 8 dager</t>
  </si>
  <si>
    <t>Pris pr delegasjon/delegat - Delegasjon 8 dager (12-13 år)</t>
  </si>
  <si>
    <t>Pris pr delegasjon/delegat - Delegasjon 8 dager (14-15 år)</t>
  </si>
  <si>
    <t>Pris pr delegasjon/delegat - Delegasjon 15 dager</t>
  </si>
  <si>
    <t>Pris pr delegasjon/delegat - Delegasjon 15 dager (12-13 år)</t>
  </si>
  <si>
    <t>Pris pr delegasjon/delegat - Delegasjon 15 dager (14-15 år)</t>
  </si>
  <si>
    <t>Pris pr delegat - Delegat 8 dager</t>
  </si>
  <si>
    <t>Pris pr delegat - Delegat 15 dager</t>
  </si>
  <si>
    <t>INTERCHANGE</t>
  </si>
  <si>
    <t>Pr. person</t>
  </si>
  <si>
    <t>Pris pr delegat</t>
  </si>
  <si>
    <t>Pris pr delegat 14-18 dager</t>
  </si>
  <si>
    <t>Pris pr delegat 19-23 dager</t>
  </si>
  <si>
    <t>Avrunding</t>
  </si>
  <si>
    <t>YOUTH MEETING</t>
  </si>
  <si>
    <t>8-dager</t>
  </si>
  <si>
    <t>15-dager</t>
  </si>
  <si>
    <t>Ind. 8-dager</t>
  </si>
  <si>
    <t>Ind. 15-dager</t>
  </si>
  <si>
    <t>8-dager, 14-15år</t>
  </si>
  <si>
    <t>15-dager, 14-15år</t>
  </si>
  <si>
    <t>Nasjonal avbestilling</t>
  </si>
  <si>
    <t>Ledertrening</t>
  </si>
  <si>
    <t>SEMINAR</t>
  </si>
  <si>
    <t>Internasjonal Avgift</t>
  </si>
  <si>
    <t>14-18 dager</t>
  </si>
  <si>
    <t>19-23 dager</t>
  </si>
  <si>
    <t>Internasjonale avgifter</t>
  </si>
  <si>
    <t>SENTRALT - INNTEKTER 2016</t>
  </si>
  <si>
    <t>Nasjonal Driftstøtte BUFDIR</t>
  </si>
  <si>
    <t>Internasjonal Driftstøtte BUFDIR</t>
  </si>
  <si>
    <t>Global Conference fees fylkeslag</t>
  </si>
  <si>
    <t>Frifond Organisasjon</t>
  </si>
  <si>
    <t>Høstmøte og Landsmøte</t>
  </si>
  <si>
    <t>Avgifter fylkeslag</t>
  </si>
  <si>
    <t>Prosjekter – overføringer</t>
  </si>
  <si>
    <t>Momskompensasjon inn</t>
  </si>
  <si>
    <t>Medlemsregister</t>
  </si>
  <si>
    <t>Medlemsblad</t>
  </si>
  <si>
    <t>Totale inntekter</t>
  </si>
  <si>
    <t>SENTRALT - UTGIFTER 2016</t>
  </si>
  <si>
    <t>MØTER OG SEMINAR</t>
  </si>
  <si>
    <t>Reiser innenlands</t>
  </si>
  <si>
    <t>Reiser utenlands</t>
  </si>
  <si>
    <t>Kost/losji/opphold</t>
  </si>
  <si>
    <t>Diverse driftskostn.</t>
  </si>
  <si>
    <t xml:space="preserve">Seminar, (potter) </t>
  </si>
  <si>
    <t>Nasjonale møter</t>
  </si>
  <si>
    <t>Sentralstyremøter (2 møter)</t>
  </si>
  <si>
    <t>Landsmøtet CISV Norge, Hamar</t>
  </si>
  <si>
    <t>Overlappingsseminar</t>
  </si>
  <si>
    <t xml:space="preserve">Høstmøtet </t>
  </si>
  <si>
    <t xml:space="preserve">Komitémøte Januar </t>
  </si>
  <si>
    <t>Nasjonal Junior Camp (eksl. Seminarleirdeltakere)</t>
  </si>
  <si>
    <t>Internasjonale møter</t>
  </si>
  <si>
    <t xml:space="preserve">AIM </t>
  </si>
  <si>
    <t xml:space="preserve">IJBC </t>
  </si>
  <si>
    <t>EJBM</t>
  </si>
  <si>
    <t>EMEA</t>
  </si>
  <si>
    <t>SUM</t>
  </si>
  <si>
    <t>DRIFTSKOSTNADER</t>
  </si>
  <si>
    <t>Ulike poster</t>
  </si>
  <si>
    <t>Regnskap og revisjon</t>
  </si>
  <si>
    <t>Kontingenter</t>
  </si>
  <si>
    <t>Drift nettsider, sosiale medier og nyhetsbrev</t>
  </si>
  <si>
    <t>Varekjøp, avg. Pl (inkl MVA)</t>
  </si>
  <si>
    <t>Håndtering effekter</t>
  </si>
  <si>
    <t xml:space="preserve"> .</t>
  </si>
  <si>
    <t>Tap fordringer</t>
  </si>
  <si>
    <t>Momskompensasjon ut</t>
  </si>
  <si>
    <t>Medlemsblad - Setting</t>
  </si>
  <si>
    <t>Medlemsblad - Trykking</t>
  </si>
  <si>
    <t>Medlemsblad - Porto</t>
  </si>
  <si>
    <t>SEKRETARIATET</t>
  </si>
  <si>
    <t>Lønn Daglig Leder</t>
  </si>
  <si>
    <t>Feriepenger</t>
  </si>
  <si>
    <t>Arbeidsgiveravgift (IKKE inkl Feriepenger)</t>
  </si>
  <si>
    <t>Kontorhold (Kaffe/frukt)</t>
  </si>
  <si>
    <t>Forsikring</t>
  </si>
  <si>
    <t>Reklame/informasjonstiltak</t>
  </si>
  <si>
    <t>Leie kontormaskiner</t>
  </si>
  <si>
    <t>Kopiering</t>
  </si>
  <si>
    <t>Prosjektkoordinator/Informasjonsstilling</t>
  </si>
  <si>
    <t>Gave/Støtte til Øst-europa fra fondet</t>
  </si>
  <si>
    <t>Global Conference fee NA</t>
  </si>
  <si>
    <t>Satser finnes i dokument C-10</t>
  </si>
  <si>
    <t>UTVIKLINGSOPPGAVER</t>
  </si>
  <si>
    <t>Seminar, (potter)</t>
  </si>
  <si>
    <t>Kompetanseheving</t>
  </si>
  <si>
    <t>Andre tiltak</t>
  </si>
  <si>
    <t>Promoteringsmateriale</t>
  </si>
  <si>
    <t>RTF</t>
  </si>
  <si>
    <t>Administrasjon Prosjekter</t>
  </si>
  <si>
    <t>EVS 1 og 2 - egenandel</t>
  </si>
  <si>
    <t>ARBEIDSGRUPPER 2016</t>
  </si>
  <si>
    <t>GlobalCon</t>
  </si>
  <si>
    <t>Totale utgifter</t>
  </si>
  <si>
    <t>Møter og seminar</t>
  </si>
  <si>
    <t>Driftskostnader</t>
  </si>
  <si>
    <t>Sekretariatet</t>
  </si>
  <si>
    <t>Utviklingsoppgaver</t>
  </si>
  <si>
    <t>Totale kostnader</t>
  </si>
  <si>
    <t>Leirstøtte SNS</t>
  </si>
  <si>
    <t>Internasjonal avgift fra norske deltagere</t>
  </si>
  <si>
    <t>Kostutjevning/avrunding</t>
  </si>
  <si>
    <t>Internasjonal driftstøtte BUFDIR</t>
  </si>
  <si>
    <t>Nasjonal avgift (til sentral)</t>
  </si>
  <si>
    <t>Reisestøtte - Finnmark</t>
  </si>
  <si>
    <t>Reisestøtte - Troms</t>
  </si>
  <si>
    <t>Reisestøtte - Sogn&amp;Fjordane</t>
  </si>
  <si>
    <t>LTS - Reise</t>
  </si>
  <si>
    <t>LTS – Kost/losji</t>
  </si>
  <si>
    <t>NEO - Reise</t>
  </si>
  <si>
    <t>NEO – Kost</t>
  </si>
  <si>
    <t>STAS - Reise</t>
  </si>
  <si>
    <t>STAS - Kost/losji</t>
  </si>
  <si>
    <t>SUDT - Reise</t>
  </si>
  <si>
    <t>SUDT – Kost</t>
  </si>
  <si>
    <t>Leir Kickoff - Reise</t>
  </si>
  <si>
    <t>Leir Kickoff - Kost/losji</t>
  </si>
  <si>
    <t>NJC - Reise</t>
  </si>
  <si>
    <t>NJC – Kost/losji</t>
  </si>
  <si>
    <t>YM-Trening 14-15 åringer</t>
  </si>
  <si>
    <t>Buffer mot uforventede kostnader lokaler</t>
  </si>
  <si>
    <t>Deltageravgift fra IO for norske leire</t>
  </si>
  <si>
    <t>Totale kostnader eksk avbestillingsforsikring</t>
  </si>
  <si>
    <t>Totale kostnader inkl avbestillingsforsikring</t>
  </si>
  <si>
    <t>NETTO (PROGRAMINNTEKTER MINUS UTGIFTER)</t>
  </si>
  <si>
    <t>PROSJEKTER I 2015</t>
  </si>
  <si>
    <t>Total utbetaling</t>
  </si>
  <si>
    <t>Forbruk av utbetaling</t>
  </si>
  <si>
    <t>Overføres og forbrukes sentralt</t>
  </si>
  <si>
    <t>Tilleggsforbruk utover utbetaling dekkes sentralt</t>
  </si>
  <si>
    <t>Navn:</t>
  </si>
  <si>
    <t>Type prosjekt:</t>
  </si>
  <si>
    <t>Tidspunkt:</t>
  </si>
  <si>
    <t>Søker om:</t>
  </si>
  <si>
    <t>Inntekt 2016</t>
  </si>
  <si>
    <t>Kostnad 2016</t>
  </si>
  <si>
    <t>Administrasjon 2016</t>
  </si>
  <si>
    <t>Egenandel</t>
  </si>
  <si>
    <t>Egenandel - Kommentar</t>
  </si>
  <si>
    <t>Peace One Day</t>
  </si>
  <si>
    <t>Opplysningsarbeid for fred UD</t>
  </si>
  <si>
    <t>Utveksling med CISV Colombia - Mangfold</t>
  </si>
  <si>
    <t>Fredskorpset</t>
  </si>
  <si>
    <t>2015-2017</t>
  </si>
  <si>
    <t>Går blant annet til lønn for prosjektkoordinator</t>
  </si>
  <si>
    <t>UDI - Verden i</t>
  </si>
  <si>
    <t>UDI</t>
  </si>
  <si>
    <t>Studieforbundet for Næring og Samfunn</t>
  </si>
  <si>
    <t>SNS - Leirstøtte</t>
  </si>
  <si>
    <t>Vår 2016</t>
  </si>
  <si>
    <t>EVS 1</t>
  </si>
  <si>
    <t>Aktiv Ungdom</t>
  </si>
  <si>
    <t>CISV Norge støtter EVSerne med 70000,- ekstra (over utbetaling fra aktiv ungdom) per pers</t>
  </si>
  <si>
    <t>EVS 2</t>
  </si>
  <si>
    <t>Generell kompetanseheving</t>
  </si>
  <si>
    <t>Kompetanseheving Norges Fredsråd</t>
  </si>
  <si>
    <t>Dette er for å vise at 140.000 på EVS er egenandel. De ligger som utgift på Sentraltfanen</t>
  </si>
  <si>
    <t>Utdanning</t>
  </si>
  <si>
    <t>Org.utvikling</t>
  </si>
  <si>
    <t>Informasjon</t>
  </si>
  <si>
    <t>Mosaikk</t>
  </si>
  <si>
    <t>Junior</t>
  </si>
  <si>
    <t>Januarmøtet</t>
  </si>
  <si>
    <t>Komitemøte</t>
  </si>
  <si>
    <t>Mosaikpotten</t>
  </si>
  <si>
    <t>Mosaikprisen</t>
  </si>
  <si>
    <t>Strategiske satsninger</t>
  </si>
  <si>
    <t>Stabstrening Verden-I</t>
  </si>
  <si>
    <t>Stab LTS-Vest</t>
  </si>
  <si>
    <t>Stab LTS-Øst</t>
  </si>
  <si>
    <t>Stab NEO</t>
  </si>
  <si>
    <t>Stab STAS</t>
  </si>
  <si>
    <t>Stab SUDT Vest</t>
  </si>
  <si>
    <t>Stab SUDT Øst</t>
  </si>
  <si>
    <t>Stab NJC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</si>
</sst>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"/>
    <numFmt numFmtId="166" formatCode="[$kr-414]\ #,##0.00;[RED]\-[$kr-414]\ #,##0.00"/>
    <numFmt numFmtId="167" formatCode="0%"/>
    <numFmt numFmtId="168" formatCode="0.00%"/>
    <numFmt numFmtId="169" formatCode="0;[RED]\-0"/>
    <numFmt numFmtId="170" formatCode="\ #,##0\ ;&quot; -&quot;#,##0\ ;&quot; - &quot;;@\ "/>
    <numFmt numFmtId="171" formatCode="\ #,##0\ ;\(#,##0\)"/>
    <numFmt numFmtId="172" formatCode="#,##0.0;\-#,##0.0"/>
    <numFmt numFmtId="173" formatCode="\ #,##0.00\ ;&quot; -&quot;#,##0.00\ ;&quot; -&quot;#\ ;@\ "/>
    <numFmt numFmtId="174" formatCode="#,##0"/>
    <numFmt numFmtId="175" formatCode="[$kr-406]\ #,##0;[$kr-406]&quot; -&quot;#,##0"/>
    <numFmt numFmtId="176" formatCode="D/\ MMM\ YY"/>
    <numFmt numFmtId="177" formatCode="&quot; kr &quot;#,##0.00\ ;&quot; kr -&quot;#,##0.00\ ;&quot; kr -&quot;#\ ;@\ 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53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25"/>
      <name val="Calibri"/>
      <family val="2"/>
    </font>
    <font>
      <b/>
      <sz val="14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center"/>
      <protection/>
    </xf>
    <xf numFmtId="164" fontId="1" fillId="0" borderId="0">
      <alignment/>
      <protection/>
    </xf>
    <xf numFmtId="164" fontId="15" fillId="0" borderId="0">
      <alignment/>
      <protection/>
    </xf>
  </cellStyleXfs>
  <cellXfs count="329">
    <xf numFmtId="164" fontId="0" fillId="0" borderId="0" xfId="0" applyAlignment="1">
      <alignment/>
    </xf>
    <xf numFmtId="164" fontId="1" fillId="2" borderId="0" xfId="22" applyFill="1">
      <alignment/>
      <protection/>
    </xf>
    <xf numFmtId="164" fontId="2" fillId="2" borderId="0" xfId="22" applyFont="1" applyFill="1" applyBorder="1" applyAlignment="1">
      <alignment horizontal="left"/>
      <protection/>
    </xf>
    <xf numFmtId="164" fontId="3" fillId="2" borderId="1" xfId="22" applyFont="1" applyFill="1" applyBorder="1" applyAlignment="1">
      <alignment/>
      <protection/>
    </xf>
    <xf numFmtId="164" fontId="4" fillId="3" borderId="1" xfId="22" applyFont="1" applyFill="1" applyBorder="1">
      <alignment/>
      <protection/>
    </xf>
    <xf numFmtId="164" fontId="4" fillId="4" borderId="1" xfId="22" applyFont="1" applyFill="1" applyBorder="1">
      <alignment/>
      <protection/>
    </xf>
    <xf numFmtId="165" fontId="3" fillId="2" borderId="1" xfId="22" applyNumberFormat="1" applyFont="1" applyFill="1" applyBorder="1">
      <alignment/>
      <protection/>
    </xf>
    <xf numFmtId="164" fontId="3" fillId="2" borderId="1" xfId="22" applyFont="1" applyFill="1" applyBorder="1">
      <alignment/>
      <protection/>
    </xf>
    <xf numFmtId="164" fontId="3" fillId="2" borderId="1" xfId="22" applyFont="1" applyFill="1" applyBorder="1" applyAlignment="1">
      <alignment horizontal="center"/>
      <protection/>
    </xf>
    <xf numFmtId="164" fontId="3" fillId="2" borderId="2" xfId="22" applyFont="1" applyFill="1" applyBorder="1" applyAlignment="1">
      <alignment/>
      <protection/>
    </xf>
    <xf numFmtId="164" fontId="4" fillId="3" borderId="2" xfId="22" applyFont="1" applyFill="1" applyBorder="1">
      <alignment/>
      <protection/>
    </xf>
    <xf numFmtId="164" fontId="4" fillId="4" borderId="2" xfId="22" applyFont="1" applyFill="1" applyBorder="1">
      <alignment/>
      <protection/>
    </xf>
    <xf numFmtId="165" fontId="3" fillId="2" borderId="2" xfId="22" applyNumberFormat="1" applyFont="1" applyFill="1" applyBorder="1">
      <alignment/>
      <protection/>
    </xf>
    <xf numFmtId="164" fontId="3" fillId="2" borderId="2" xfId="22" applyFont="1" applyFill="1" applyBorder="1">
      <alignment/>
      <protection/>
    </xf>
    <xf numFmtId="165" fontId="1" fillId="2" borderId="0" xfId="22" applyNumberFormat="1" applyFill="1">
      <alignment/>
      <protection/>
    </xf>
    <xf numFmtId="165" fontId="5" fillId="3" borderId="0" xfId="22" applyNumberFormat="1" applyFont="1" applyFill="1">
      <alignment/>
      <protection/>
    </xf>
    <xf numFmtId="166" fontId="1" fillId="0" borderId="0" xfId="22" applyNumberFormat="1">
      <alignment/>
      <protection/>
    </xf>
    <xf numFmtId="168" fontId="1" fillId="0" borderId="0" xfId="19" applyNumberFormat="1">
      <alignment/>
      <protection/>
    </xf>
    <xf numFmtId="164" fontId="3" fillId="2" borderId="0" xfId="22" applyFont="1" applyFill="1">
      <alignment/>
      <protection/>
    </xf>
    <xf numFmtId="165" fontId="1" fillId="2" borderId="3" xfId="22" applyNumberFormat="1" applyFill="1" applyBorder="1">
      <alignment/>
      <protection/>
    </xf>
    <xf numFmtId="165" fontId="5" fillId="3" borderId="3" xfId="22" applyNumberFormat="1" applyFont="1" applyFill="1" applyBorder="1">
      <alignment/>
      <protection/>
    </xf>
    <xf numFmtId="166" fontId="1" fillId="0" borderId="4" xfId="22" applyNumberFormat="1" applyBorder="1">
      <alignment/>
      <protection/>
    </xf>
    <xf numFmtId="165" fontId="1" fillId="2" borderId="2" xfId="22" applyNumberFormat="1" applyFill="1" applyBorder="1">
      <alignment/>
      <protection/>
    </xf>
    <xf numFmtId="165" fontId="5" fillId="3" borderId="2" xfId="22" applyNumberFormat="1" applyFont="1" applyFill="1" applyBorder="1">
      <alignment/>
      <protection/>
    </xf>
    <xf numFmtId="166" fontId="1" fillId="0" borderId="5" xfId="22" applyNumberFormat="1" applyBorder="1">
      <alignment/>
      <protection/>
    </xf>
    <xf numFmtId="164" fontId="1" fillId="2" borderId="2" xfId="22" applyFill="1" applyBorder="1">
      <alignment/>
      <protection/>
    </xf>
    <xf numFmtId="165" fontId="3" fillId="2" borderId="1" xfId="22" applyNumberFormat="1" applyFont="1" applyFill="1" applyBorder="1" applyAlignment="1">
      <alignment/>
      <protection/>
    </xf>
    <xf numFmtId="165" fontId="4" fillId="3" borderId="1" xfId="22" applyNumberFormat="1" applyFont="1" applyFill="1" applyBorder="1">
      <alignment/>
      <protection/>
    </xf>
    <xf numFmtId="165" fontId="1" fillId="3" borderId="0" xfId="22" applyNumberFormat="1" applyFont="1" applyFill="1">
      <alignment/>
      <protection/>
    </xf>
    <xf numFmtId="165" fontId="1" fillId="2" borderId="0" xfId="22" applyNumberFormat="1" applyFill="1" applyBorder="1">
      <alignment/>
      <protection/>
    </xf>
    <xf numFmtId="165" fontId="5" fillId="3" borderId="0" xfId="22" applyNumberFormat="1" applyFont="1" applyFill="1" applyBorder="1">
      <alignment/>
      <protection/>
    </xf>
    <xf numFmtId="169" fontId="1" fillId="0" borderId="0" xfId="22" applyNumberFormat="1">
      <alignment/>
      <protection/>
    </xf>
    <xf numFmtId="165" fontId="1" fillId="3" borderId="0" xfId="22" applyNumberFormat="1" applyFill="1">
      <alignment/>
      <protection/>
    </xf>
    <xf numFmtId="165" fontId="1" fillId="3" borderId="0" xfId="22" applyNumberFormat="1" applyFill="1" applyAlignment="1">
      <alignment horizontal="right"/>
      <protection/>
    </xf>
    <xf numFmtId="165" fontId="1" fillId="3" borderId="2" xfId="22" applyNumberFormat="1" applyFill="1" applyBorder="1">
      <alignment/>
      <protection/>
    </xf>
    <xf numFmtId="165" fontId="1" fillId="3" borderId="0" xfId="22" applyNumberFormat="1" applyFill="1" applyBorder="1">
      <alignment/>
      <protection/>
    </xf>
    <xf numFmtId="166" fontId="1" fillId="2" borderId="0" xfId="22" applyNumberFormat="1" applyFill="1" applyBorder="1">
      <alignment/>
      <protection/>
    </xf>
    <xf numFmtId="164" fontId="3" fillId="2" borderId="6" xfId="22" applyFont="1" applyFill="1" applyBorder="1">
      <alignment/>
      <protection/>
    </xf>
    <xf numFmtId="165" fontId="3" fillId="2" borderId="6" xfId="22" applyNumberFormat="1" applyFont="1" applyFill="1" applyBorder="1">
      <alignment/>
      <protection/>
    </xf>
    <xf numFmtId="165" fontId="3" fillId="3" borderId="6" xfId="22" applyNumberFormat="1" applyFont="1" applyFill="1" applyBorder="1">
      <alignment/>
      <protection/>
    </xf>
    <xf numFmtId="164" fontId="1" fillId="3" borderId="0" xfId="22" applyFill="1">
      <alignment/>
      <protection/>
    </xf>
    <xf numFmtId="164" fontId="1" fillId="2" borderId="1" xfId="22" applyFill="1" applyBorder="1">
      <alignment/>
      <protection/>
    </xf>
    <xf numFmtId="164" fontId="1" fillId="2" borderId="7" xfId="22" applyFont="1" applyFill="1" applyBorder="1">
      <alignment/>
      <protection/>
    </xf>
    <xf numFmtId="165" fontId="1" fillId="2" borderId="8" xfId="22" applyNumberFormat="1" applyFill="1" applyBorder="1">
      <alignment/>
      <protection/>
    </xf>
    <xf numFmtId="165" fontId="1" fillId="3" borderId="8" xfId="22" applyNumberFormat="1" applyFill="1" applyBorder="1">
      <alignment/>
      <protection/>
    </xf>
    <xf numFmtId="165" fontId="1" fillId="3" borderId="8" xfId="22" applyNumberFormat="1" applyFont="1" applyFill="1" applyBorder="1">
      <alignment/>
      <protection/>
    </xf>
    <xf numFmtId="164" fontId="1" fillId="2" borderId="9" xfId="22" applyFont="1" applyFill="1" applyBorder="1">
      <alignment/>
      <protection/>
    </xf>
    <xf numFmtId="165" fontId="1" fillId="2" borderId="10" xfId="22" applyNumberFormat="1" applyFill="1" applyBorder="1">
      <alignment/>
      <protection/>
    </xf>
    <xf numFmtId="165" fontId="1" fillId="3" borderId="10" xfId="22" applyNumberFormat="1" applyFill="1" applyBorder="1">
      <alignment/>
      <protection/>
    </xf>
    <xf numFmtId="165" fontId="1" fillId="3" borderId="10" xfId="22" applyNumberFormat="1" applyFont="1" applyFill="1" applyBorder="1">
      <alignment/>
      <protection/>
    </xf>
    <xf numFmtId="164" fontId="1" fillId="2" borderId="11" xfId="22" applyFont="1" applyFill="1" applyBorder="1">
      <alignment/>
      <protection/>
    </xf>
    <xf numFmtId="165" fontId="1" fillId="2" borderId="12" xfId="22" applyNumberFormat="1" applyFill="1" applyBorder="1">
      <alignment/>
      <protection/>
    </xf>
    <xf numFmtId="165" fontId="1" fillId="3" borderId="12" xfId="22" applyNumberFormat="1" applyFill="1" applyBorder="1">
      <alignment/>
      <protection/>
    </xf>
    <xf numFmtId="164" fontId="1" fillId="0" borderId="0" xfId="20">
      <alignment/>
      <protection/>
    </xf>
    <xf numFmtId="164" fontId="1" fillId="0" borderId="12" xfId="20" applyFont="1" applyBorder="1">
      <alignment/>
      <protection/>
    </xf>
    <xf numFmtId="164" fontId="1" fillId="5" borderId="12" xfId="20" applyFont="1" applyFill="1" applyBorder="1" applyAlignment="1">
      <alignment horizontal="center"/>
      <protection/>
    </xf>
    <xf numFmtId="164" fontId="1" fillId="6" borderId="12" xfId="20" applyFont="1" applyFill="1" applyBorder="1" applyAlignment="1">
      <alignment horizontal="center"/>
      <protection/>
    </xf>
    <xf numFmtId="164" fontId="1" fillId="6" borderId="13" xfId="20" applyFont="1" applyFill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7" borderId="14" xfId="20" applyFont="1" applyFill="1" applyBorder="1">
      <alignment/>
      <protection/>
    </xf>
    <xf numFmtId="164" fontId="1" fillId="5" borderId="15" xfId="20" applyFont="1" applyFill="1" applyBorder="1">
      <alignment/>
      <protection/>
    </xf>
    <xf numFmtId="164" fontId="1" fillId="5" borderId="16" xfId="20" applyFont="1" applyFill="1" applyBorder="1">
      <alignment/>
      <protection/>
    </xf>
    <xf numFmtId="164" fontId="1" fillId="7" borderId="16" xfId="20" applyFont="1" applyFill="1" applyBorder="1">
      <alignment/>
      <protection/>
    </xf>
    <xf numFmtId="164" fontId="1" fillId="6" borderId="16" xfId="20" applyFont="1" applyFill="1" applyBorder="1">
      <alignment/>
      <protection/>
    </xf>
    <xf numFmtId="164" fontId="3" fillId="0" borderId="0" xfId="20" applyFont="1" applyAlignment="1">
      <alignment horizontal="left"/>
      <protection/>
    </xf>
    <xf numFmtId="164" fontId="1" fillId="7" borderId="10" xfId="20" applyFill="1" applyBorder="1">
      <alignment/>
      <protection/>
    </xf>
    <xf numFmtId="170" fontId="1" fillId="5" borderId="10" xfId="20" applyNumberFormat="1" applyFill="1" applyBorder="1">
      <alignment/>
      <protection/>
    </xf>
    <xf numFmtId="170" fontId="1" fillId="7" borderId="8" xfId="20" applyNumberFormat="1" applyFill="1" applyBorder="1">
      <alignment/>
      <protection/>
    </xf>
    <xf numFmtId="170" fontId="1" fillId="0" borderId="7" xfId="20" applyNumberFormat="1" applyBorder="1">
      <alignment/>
      <protection/>
    </xf>
    <xf numFmtId="170" fontId="1" fillId="0" borderId="3" xfId="20" applyNumberFormat="1" applyBorder="1">
      <alignment/>
      <protection/>
    </xf>
    <xf numFmtId="164" fontId="6" fillId="0" borderId="0" xfId="20" applyFont="1">
      <alignment/>
      <protection/>
    </xf>
    <xf numFmtId="164" fontId="7" fillId="0" borderId="0" xfId="20" applyFont="1">
      <alignment/>
      <protection/>
    </xf>
    <xf numFmtId="170" fontId="1" fillId="7" borderId="10" xfId="20" applyNumberFormat="1" applyFont="1" applyFill="1" applyBorder="1">
      <alignment/>
      <protection/>
    </xf>
    <xf numFmtId="170" fontId="1" fillId="5" borderId="10" xfId="20" applyNumberFormat="1" applyFont="1" applyFill="1" applyBorder="1">
      <alignment/>
      <protection/>
    </xf>
    <xf numFmtId="170" fontId="1" fillId="7" borderId="10" xfId="20" applyNumberFormat="1" applyFill="1" applyBorder="1">
      <alignment/>
      <protection/>
    </xf>
    <xf numFmtId="170" fontId="1" fillId="0" borderId="9" xfId="20" applyNumberFormat="1" applyBorder="1">
      <alignment/>
      <protection/>
    </xf>
    <xf numFmtId="170" fontId="1" fillId="0" borderId="0" xfId="20" applyNumberFormat="1" applyBorder="1">
      <alignment/>
      <protection/>
    </xf>
    <xf numFmtId="170" fontId="8" fillId="7" borderId="10" xfId="20" applyNumberFormat="1" applyFont="1" applyFill="1" applyBorder="1">
      <alignment/>
      <protection/>
    </xf>
    <xf numFmtId="164" fontId="8" fillId="0" borderId="0" xfId="20" applyFont="1">
      <alignment/>
      <protection/>
    </xf>
    <xf numFmtId="164" fontId="9" fillId="0" borderId="0" xfId="20" applyFont="1" applyAlignment="1">
      <alignment horizontal="left"/>
      <protection/>
    </xf>
    <xf numFmtId="170" fontId="1" fillId="8" borderId="10" xfId="20" applyNumberFormat="1" applyFill="1" applyBorder="1">
      <alignment/>
      <protection/>
    </xf>
    <xf numFmtId="170" fontId="1" fillId="8" borderId="9" xfId="20" applyNumberFormat="1" applyFill="1" applyBorder="1">
      <alignment/>
      <protection/>
    </xf>
    <xf numFmtId="170" fontId="1" fillId="8" borderId="0" xfId="20" applyNumberFormat="1" applyFill="1" applyBorder="1">
      <alignment/>
      <protection/>
    </xf>
    <xf numFmtId="164" fontId="7" fillId="0" borderId="0" xfId="20" applyFont="1" applyAlignment="1">
      <alignment horizontal="left"/>
      <protection/>
    </xf>
    <xf numFmtId="164" fontId="10" fillId="0" borderId="0" xfId="20" applyFont="1" applyAlignment="1">
      <alignment horizontal="left"/>
      <protection/>
    </xf>
    <xf numFmtId="170" fontId="1" fillId="8" borderId="17" xfId="20" applyNumberFormat="1" applyFill="1" applyBorder="1">
      <alignment/>
      <protection/>
    </xf>
    <xf numFmtId="170" fontId="1" fillId="9" borderId="10" xfId="20" applyNumberFormat="1" applyFill="1" applyBorder="1">
      <alignment/>
      <protection/>
    </xf>
    <xf numFmtId="170" fontId="1" fillId="9" borderId="17" xfId="20" applyNumberFormat="1" applyFill="1" applyBorder="1">
      <alignment/>
      <protection/>
    </xf>
    <xf numFmtId="164" fontId="3" fillId="0" borderId="0" xfId="20" applyFont="1">
      <alignment/>
      <protection/>
    </xf>
    <xf numFmtId="170" fontId="1" fillId="0" borderId="9" xfId="20" applyNumberFormat="1" applyFont="1" applyBorder="1">
      <alignment/>
      <protection/>
    </xf>
    <xf numFmtId="164" fontId="7" fillId="0" borderId="0" xfId="20" applyFont="1" applyFill="1">
      <alignment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70" fontId="1" fillId="0" borderId="0" xfId="20" applyNumberFormat="1">
      <alignment/>
      <protection/>
    </xf>
    <xf numFmtId="170" fontId="1" fillId="2" borderId="0" xfId="20" applyNumberFormat="1" applyFont="1" applyFill="1" applyBorder="1">
      <alignment/>
      <protection/>
    </xf>
    <xf numFmtId="170" fontId="1" fillId="9" borderId="12" xfId="20" applyNumberFormat="1" applyFill="1" applyBorder="1">
      <alignment/>
      <protection/>
    </xf>
    <xf numFmtId="170" fontId="1" fillId="0" borderId="0" xfId="20" applyNumberFormat="1" applyFill="1" applyBorder="1">
      <alignment/>
      <protection/>
    </xf>
    <xf numFmtId="164" fontId="4" fillId="0" borderId="0" xfId="20" applyFont="1">
      <alignment/>
      <protection/>
    </xf>
    <xf numFmtId="170" fontId="1" fillId="10" borderId="10" xfId="20" applyNumberFormat="1" applyFill="1" applyBorder="1">
      <alignment/>
      <protection/>
    </xf>
    <xf numFmtId="164" fontId="1" fillId="0" borderId="0" xfId="20" applyFill="1" applyBorder="1">
      <alignment/>
      <protection/>
    </xf>
    <xf numFmtId="164" fontId="11" fillId="0" borderId="0" xfId="20" applyFont="1">
      <alignment/>
      <protection/>
    </xf>
    <xf numFmtId="170" fontId="1" fillId="5" borderId="0" xfId="20" applyNumberFormat="1" applyFont="1" applyFill="1" applyBorder="1">
      <alignment/>
      <protection/>
    </xf>
    <xf numFmtId="170" fontId="3" fillId="7" borderId="0" xfId="20" applyNumberFormat="1" applyFont="1" applyFill="1">
      <alignment/>
      <protection/>
    </xf>
    <xf numFmtId="170" fontId="1" fillId="0" borderId="10" xfId="20" applyNumberFormat="1" applyBorder="1">
      <alignment/>
      <protection/>
    </xf>
    <xf numFmtId="170" fontId="1" fillId="7" borderId="0" xfId="20" applyNumberFormat="1" applyFill="1">
      <alignment/>
      <protection/>
    </xf>
    <xf numFmtId="170" fontId="1" fillId="0" borderId="17" xfId="20" applyNumberFormat="1" applyBorder="1">
      <alignment/>
      <protection/>
    </xf>
    <xf numFmtId="170" fontId="1" fillId="8" borderId="8" xfId="20" applyNumberFormat="1" applyFill="1" applyBorder="1">
      <alignment/>
      <protection/>
    </xf>
    <xf numFmtId="170" fontId="1" fillId="8" borderId="18" xfId="20" applyNumberFormat="1" applyFill="1" applyBorder="1">
      <alignment/>
      <protection/>
    </xf>
    <xf numFmtId="164" fontId="1" fillId="0" borderId="0" xfId="20" applyBorder="1">
      <alignment/>
      <protection/>
    </xf>
    <xf numFmtId="170" fontId="1" fillId="10" borderId="8" xfId="20" applyNumberFormat="1" applyFill="1" applyBorder="1">
      <alignment/>
      <protection/>
    </xf>
    <xf numFmtId="164" fontId="1" fillId="2" borderId="0" xfId="22" applyFont="1" applyFill="1">
      <alignment/>
      <protection/>
    </xf>
    <xf numFmtId="164" fontId="3" fillId="2" borderId="16" xfId="22" applyFont="1" applyFill="1" applyBorder="1">
      <alignment/>
      <protection/>
    </xf>
    <xf numFmtId="164" fontId="1" fillId="2" borderId="14" xfId="22" applyFont="1" applyFill="1" applyBorder="1">
      <alignment/>
      <protection/>
    </xf>
    <xf numFmtId="164" fontId="1" fillId="2" borderId="17" xfId="22" applyFont="1" applyFill="1" applyBorder="1">
      <alignment/>
      <protection/>
    </xf>
    <xf numFmtId="164" fontId="1" fillId="2" borderId="16" xfId="22" applyFont="1" applyFill="1" applyBorder="1">
      <alignment/>
      <protection/>
    </xf>
    <xf numFmtId="171" fontId="1" fillId="11" borderId="14" xfId="22" applyNumberFormat="1" applyFont="1" applyFill="1" applyBorder="1">
      <alignment/>
      <protection/>
    </xf>
    <xf numFmtId="171" fontId="1" fillId="2" borderId="9" xfId="22" applyNumberFormat="1" applyFont="1" applyFill="1" applyBorder="1">
      <alignment/>
      <protection/>
    </xf>
    <xf numFmtId="164" fontId="1" fillId="2" borderId="13" xfId="22" applyFont="1" applyFill="1" applyBorder="1">
      <alignment/>
      <protection/>
    </xf>
    <xf numFmtId="164" fontId="12" fillId="2" borderId="1" xfId="22" applyNumberFormat="1" applyFont="1" applyFill="1" applyBorder="1" applyAlignment="1">
      <alignment wrapText="1"/>
      <protection/>
    </xf>
    <xf numFmtId="164" fontId="1" fillId="2" borderId="0" xfId="22" applyFont="1" applyFill="1" applyAlignment="1">
      <alignment vertical="center"/>
      <protection/>
    </xf>
    <xf numFmtId="164" fontId="13" fillId="2" borderId="18" xfId="22" applyNumberFormat="1" applyFont="1" applyFill="1" applyBorder="1" applyAlignment="1">
      <alignment/>
      <protection/>
    </xf>
    <xf numFmtId="164" fontId="12" fillId="2" borderId="7" xfId="22" applyNumberFormat="1" applyFont="1" applyFill="1" applyBorder="1" applyAlignment="1">
      <alignment/>
      <protection/>
    </xf>
    <xf numFmtId="164" fontId="12" fillId="2" borderId="17" xfId="22" applyNumberFormat="1" applyFont="1" applyFill="1" applyBorder="1" applyAlignment="1">
      <alignment wrapText="1"/>
      <protection/>
    </xf>
    <xf numFmtId="164" fontId="12" fillId="2" borderId="17" xfId="22" applyNumberFormat="1" applyFont="1" applyFill="1" applyBorder="1" applyAlignment="1">
      <alignment/>
      <protection/>
    </xf>
    <xf numFmtId="172" fontId="12" fillId="12" borderId="9" xfId="22" applyNumberFormat="1" applyFont="1" applyFill="1" applyBorder="1" applyAlignment="1">
      <alignment/>
      <protection/>
    </xf>
    <xf numFmtId="164" fontId="14" fillId="2" borderId="17" xfId="22" applyNumberFormat="1" applyFont="1" applyFill="1" applyBorder="1" applyAlignment="1">
      <alignment wrapText="1"/>
      <protection/>
    </xf>
    <xf numFmtId="164" fontId="12" fillId="2" borderId="13" xfId="22" applyNumberFormat="1" applyFont="1" applyFill="1" applyBorder="1" applyAlignment="1">
      <alignment/>
      <protection/>
    </xf>
    <xf numFmtId="172" fontId="12" fillId="12" borderId="11" xfId="22" applyNumberFormat="1" applyFont="1" applyFill="1" applyBorder="1" applyAlignment="1">
      <alignment/>
      <protection/>
    </xf>
    <xf numFmtId="164" fontId="12" fillId="2" borderId="2" xfId="22" applyNumberFormat="1" applyFont="1" applyFill="1" applyBorder="1" applyAlignment="1">
      <alignment wrapText="1"/>
      <protection/>
    </xf>
    <xf numFmtId="164" fontId="12" fillId="2" borderId="3" xfId="22" applyNumberFormat="1" applyFont="1" applyFill="1" applyBorder="1" applyAlignment="1">
      <alignment/>
      <protection/>
    </xf>
    <xf numFmtId="164" fontId="12" fillId="2" borderId="0" xfId="22" applyNumberFormat="1" applyFont="1" applyFill="1" applyBorder="1" applyAlignment="1">
      <alignment wrapText="1"/>
      <protection/>
    </xf>
    <xf numFmtId="173" fontId="12" fillId="12" borderId="0" xfId="15" applyFont="1" applyFill="1" applyBorder="1" applyAlignment="1" applyProtection="1">
      <alignment/>
      <protection/>
    </xf>
    <xf numFmtId="164" fontId="12" fillId="2" borderId="0" xfId="22" applyNumberFormat="1" applyFont="1" applyFill="1" applyAlignment="1">
      <alignment/>
      <protection/>
    </xf>
    <xf numFmtId="164" fontId="12" fillId="2" borderId="9" xfId="22" applyNumberFormat="1" applyFont="1" applyFill="1" applyBorder="1" applyAlignment="1">
      <alignment/>
      <protection/>
    </xf>
    <xf numFmtId="164" fontId="5" fillId="2" borderId="15" xfId="23" applyNumberFormat="1" applyFont="1" applyFill="1" applyBorder="1" applyAlignment="1" applyProtection="1">
      <alignment horizontal="center" vertical="center" wrapText="1"/>
      <protection/>
    </xf>
    <xf numFmtId="164" fontId="1" fillId="0" borderId="0" xfId="22" applyFont="1">
      <alignment/>
      <protection/>
    </xf>
    <xf numFmtId="164" fontId="5" fillId="2" borderId="17" xfId="23" applyNumberFormat="1" applyFont="1" applyFill="1" applyBorder="1" applyAlignment="1" applyProtection="1">
      <alignment horizontal="center" vertical="center" wrapText="1"/>
      <protection/>
    </xf>
    <xf numFmtId="164" fontId="5" fillId="2" borderId="0" xfId="23" applyNumberFormat="1" applyFont="1" applyFill="1" applyBorder="1" applyAlignment="1" applyProtection="1">
      <alignment horizontal="center" vertical="center" wrapText="1"/>
      <protection/>
    </xf>
    <xf numFmtId="171" fontId="12" fillId="12" borderId="0" xfId="22" applyNumberFormat="1" applyFont="1" applyFill="1" applyAlignment="1">
      <alignment/>
      <protection/>
    </xf>
    <xf numFmtId="164" fontId="12" fillId="2" borderId="0" xfId="22" applyNumberFormat="1" applyFont="1" applyFill="1" applyAlignment="1">
      <alignment vertical="center"/>
      <protection/>
    </xf>
    <xf numFmtId="164" fontId="0" fillId="2" borderId="17" xfId="22" applyNumberFormat="1" applyFont="1" applyFill="1" applyBorder="1" applyAlignment="1">
      <alignment/>
      <protection/>
    </xf>
    <xf numFmtId="171" fontId="0" fillId="12" borderId="0" xfId="22" applyNumberFormat="1" applyFont="1" applyFill="1" applyAlignment="1">
      <alignment/>
      <protection/>
    </xf>
    <xf numFmtId="171" fontId="12" fillId="12" borderId="1" xfId="22" applyNumberFormat="1" applyFont="1" applyFill="1" applyBorder="1" applyAlignment="1">
      <alignment/>
      <protection/>
    </xf>
    <xf numFmtId="164" fontId="12" fillId="2" borderId="1" xfId="22" applyNumberFormat="1" applyFont="1" applyFill="1" applyBorder="1" applyAlignment="1">
      <alignment/>
      <protection/>
    </xf>
    <xf numFmtId="164" fontId="12" fillId="2" borderId="11" xfId="22" applyNumberFormat="1" applyFont="1" applyFill="1" applyBorder="1" applyAlignment="1">
      <alignment/>
      <protection/>
    </xf>
    <xf numFmtId="164" fontId="12" fillId="2" borderId="3" xfId="22" applyNumberFormat="1" applyFont="1" applyFill="1" applyBorder="1" applyAlignment="1">
      <alignment wrapText="1"/>
      <protection/>
    </xf>
    <xf numFmtId="164" fontId="13" fillId="2" borderId="18" xfId="22" applyNumberFormat="1" applyFont="1" applyFill="1" applyBorder="1" applyAlignment="1">
      <alignment wrapText="1"/>
      <protection/>
    </xf>
    <xf numFmtId="164" fontId="1" fillId="2" borderId="3" xfId="22" applyFont="1" applyFill="1" applyBorder="1">
      <alignment/>
      <protection/>
    </xf>
    <xf numFmtId="164" fontId="1" fillId="2" borderId="3" xfId="22" applyFont="1" applyFill="1" applyBorder="1" applyAlignment="1">
      <alignment vertical="center"/>
      <protection/>
    </xf>
    <xf numFmtId="164" fontId="12" fillId="2" borderId="7" xfId="22" applyNumberFormat="1" applyFont="1" applyFill="1" applyBorder="1" applyAlignment="1">
      <alignment vertical="center"/>
      <protection/>
    </xf>
    <xf numFmtId="164" fontId="13" fillId="2" borderId="1" xfId="22" applyNumberFormat="1" applyFont="1" applyFill="1" applyBorder="1" applyAlignment="1">
      <alignment wrapText="1"/>
      <protection/>
    </xf>
    <xf numFmtId="164" fontId="3" fillId="2" borderId="1" xfId="22" applyFont="1" applyFill="1" applyBorder="1" applyAlignment="1">
      <alignment vertical="center"/>
      <protection/>
    </xf>
    <xf numFmtId="164" fontId="12" fillId="2" borderId="9" xfId="22" applyNumberFormat="1" applyFont="1" applyFill="1" applyBorder="1" applyAlignment="1">
      <alignment vertical="center"/>
      <protection/>
    </xf>
    <xf numFmtId="164" fontId="12" fillId="13" borderId="0" xfId="22" applyNumberFormat="1" applyFont="1" applyFill="1" applyBorder="1" applyAlignment="1">
      <alignment wrapText="1"/>
      <protection/>
    </xf>
    <xf numFmtId="164" fontId="12" fillId="12" borderId="0" xfId="22" applyNumberFormat="1" applyFont="1" applyFill="1" applyBorder="1" applyAlignment="1">
      <alignment wrapText="1"/>
      <protection/>
    </xf>
    <xf numFmtId="164" fontId="1" fillId="12" borderId="0" xfId="22" applyFont="1" applyFill="1" applyBorder="1" applyAlignment="1">
      <alignment vertical="center"/>
      <protection/>
    </xf>
    <xf numFmtId="164" fontId="1" fillId="2" borderId="0" xfId="22" applyFont="1" applyFill="1" applyBorder="1" applyAlignment="1">
      <alignment vertical="center"/>
      <protection/>
    </xf>
    <xf numFmtId="164" fontId="1" fillId="2" borderId="0" xfId="22" applyFont="1" applyFill="1" applyBorder="1">
      <alignment/>
      <protection/>
    </xf>
    <xf numFmtId="164" fontId="1" fillId="2" borderId="1" xfId="22" applyFont="1" applyFill="1" applyBorder="1" applyAlignment="1">
      <alignment vertical="center"/>
      <protection/>
    </xf>
    <xf numFmtId="171" fontId="12" fillId="12" borderId="0" xfId="22" applyNumberFormat="1" applyFont="1" applyFill="1" applyBorder="1" applyAlignment="1">
      <alignment/>
      <protection/>
    </xf>
    <xf numFmtId="164" fontId="12" fillId="2" borderId="0" xfId="22" applyNumberFormat="1" applyFont="1" applyFill="1" applyBorder="1" applyAlignment="1">
      <alignment/>
      <protection/>
    </xf>
    <xf numFmtId="164" fontId="1" fillId="2" borderId="9" xfId="22" applyFont="1" applyFill="1" applyBorder="1" applyAlignment="1">
      <alignment vertical="center"/>
      <protection/>
    </xf>
    <xf numFmtId="164" fontId="1" fillId="2" borderId="1" xfId="22" applyFont="1" applyFill="1" applyBorder="1">
      <alignment/>
      <protection/>
    </xf>
    <xf numFmtId="164" fontId="1" fillId="2" borderId="11" xfId="22" applyFont="1" applyFill="1" applyBorder="1" applyAlignment="1">
      <alignment vertical="center"/>
      <protection/>
    </xf>
    <xf numFmtId="171" fontId="12" fillId="2" borderId="0" xfId="22" applyNumberFormat="1" applyFont="1" applyFill="1" applyBorder="1" applyAlignment="1">
      <alignment/>
      <protection/>
    </xf>
    <xf numFmtId="171" fontId="12" fillId="2" borderId="3" xfId="22" applyNumberFormat="1" applyFont="1" applyFill="1" applyBorder="1" applyAlignment="1">
      <alignment/>
      <protection/>
    </xf>
    <xf numFmtId="164" fontId="12" fillId="12" borderId="1" xfId="22" applyNumberFormat="1" applyFont="1" applyFill="1" applyBorder="1" applyAlignment="1">
      <alignment/>
      <protection/>
    </xf>
    <xf numFmtId="164" fontId="13" fillId="2" borderId="0" xfId="22" applyNumberFormat="1" applyFont="1" applyFill="1" applyBorder="1" applyAlignment="1">
      <alignment wrapText="1"/>
      <protection/>
    </xf>
    <xf numFmtId="164" fontId="12" fillId="2" borderId="7" xfId="22" applyNumberFormat="1" applyFont="1" applyFill="1" applyBorder="1" applyAlignment="1">
      <alignment wrapText="1"/>
      <protection/>
    </xf>
    <xf numFmtId="164" fontId="12" fillId="2" borderId="9" xfId="22" applyNumberFormat="1" applyFont="1" applyFill="1" applyBorder="1" applyAlignment="1">
      <alignment wrapText="1"/>
      <protection/>
    </xf>
    <xf numFmtId="164" fontId="12" fillId="2" borderId="19" xfId="22" applyNumberFormat="1" applyFont="1" applyFill="1" applyBorder="1" applyAlignment="1">
      <alignment wrapText="1"/>
      <protection/>
    </xf>
    <xf numFmtId="164" fontId="1" fillId="2" borderId="20" xfId="22" applyFont="1" applyFill="1" applyBorder="1">
      <alignment/>
      <protection/>
    </xf>
    <xf numFmtId="164" fontId="12" fillId="12" borderId="20" xfId="22" applyNumberFormat="1" applyFont="1" applyFill="1" applyBorder="1" applyAlignment="1">
      <alignment wrapText="1"/>
      <protection/>
    </xf>
    <xf numFmtId="164" fontId="12" fillId="2" borderId="21" xfId="22" applyNumberFormat="1" applyFont="1" applyFill="1" applyBorder="1" applyAlignment="1">
      <alignment wrapText="1"/>
      <protection/>
    </xf>
    <xf numFmtId="164" fontId="16" fillId="2" borderId="0" xfId="22" applyFont="1" applyFill="1" applyBorder="1">
      <alignment/>
      <protection/>
    </xf>
    <xf numFmtId="174" fontId="12" fillId="12" borderId="0" xfId="22" applyNumberFormat="1" applyFont="1" applyFill="1" applyBorder="1" applyAlignment="1">
      <alignment/>
      <protection/>
    </xf>
    <xf numFmtId="174" fontId="12" fillId="12" borderId="1" xfId="22" applyNumberFormat="1" applyFont="1" applyFill="1" applyBorder="1" applyAlignment="1">
      <alignment/>
      <protection/>
    </xf>
    <xf numFmtId="167" fontId="12" fillId="12" borderId="9" xfId="22" applyNumberFormat="1" applyFont="1" applyFill="1" applyBorder="1" applyAlignment="1">
      <alignment/>
      <protection/>
    </xf>
    <xf numFmtId="167" fontId="12" fillId="12" borderId="11" xfId="22" applyNumberFormat="1" applyFont="1" applyFill="1" applyBorder="1" applyAlignment="1">
      <alignment/>
      <protection/>
    </xf>
    <xf numFmtId="164" fontId="1" fillId="2" borderId="7" xfId="22" applyFont="1" applyFill="1" applyBorder="1" applyAlignment="1">
      <alignment vertical="center"/>
      <protection/>
    </xf>
    <xf numFmtId="174" fontId="12" fillId="12" borderId="9" xfId="22" applyNumberFormat="1" applyFont="1" applyFill="1" applyBorder="1" applyAlignment="1">
      <alignment/>
      <protection/>
    </xf>
    <xf numFmtId="164" fontId="12" fillId="2" borderId="11" xfId="22" applyNumberFormat="1" applyFont="1" applyFill="1" applyBorder="1" applyAlignment="1">
      <alignment wrapText="1"/>
      <protection/>
    </xf>
    <xf numFmtId="174" fontId="12" fillId="2" borderId="9" xfId="22" applyNumberFormat="1" applyFont="1" applyFill="1" applyBorder="1" applyAlignment="1">
      <alignment/>
      <protection/>
    </xf>
    <xf numFmtId="164" fontId="3" fillId="2" borderId="0" xfId="22" applyFont="1" applyFill="1" applyBorder="1" applyAlignment="1">
      <alignment vertical="center"/>
      <protection/>
    </xf>
    <xf numFmtId="174" fontId="12" fillId="12" borderId="11" xfId="22" applyNumberFormat="1" applyFont="1" applyFill="1" applyBorder="1" applyAlignment="1">
      <alignment/>
      <protection/>
    </xf>
    <xf numFmtId="164" fontId="17" fillId="3" borderId="13" xfId="22" applyFont="1" applyFill="1" applyBorder="1" applyAlignment="1">
      <alignment horizontal="center" vertical="center" wrapText="1"/>
      <protection/>
    </xf>
    <xf numFmtId="164" fontId="1" fillId="3" borderId="0" xfId="22" applyFont="1" applyFill="1">
      <alignment/>
      <protection/>
    </xf>
    <xf numFmtId="164" fontId="1" fillId="3" borderId="11" xfId="22" applyFont="1" applyFill="1" applyBorder="1" applyAlignment="1">
      <alignment horizontal="center" wrapText="1"/>
      <protection/>
    </xf>
    <xf numFmtId="164" fontId="17" fillId="14" borderId="13" xfId="22" applyFont="1" applyFill="1" applyBorder="1" applyAlignment="1">
      <alignment horizontal="center" vertical="center" wrapText="1"/>
      <protection/>
    </xf>
    <xf numFmtId="164" fontId="1" fillId="14" borderId="0" xfId="22" applyFont="1" applyFill="1">
      <alignment/>
      <protection/>
    </xf>
    <xf numFmtId="164" fontId="13" fillId="2" borderId="1" xfId="22" applyFont="1" applyFill="1" applyBorder="1" applyAlignment="1">
      <alignment vertical="center"/>
      <protection/>
    </xf>
    <xf numFmtId="164" fontId="13" fillId="2" borderId="14" xfId="22" applyFont="1" applyFill="1" applyBorder="1" applyAlignment="1">
      <alignment vertical="center"/>
      <protection/>
    </xf>
    <xf numFmtId="164" fontId="1" fillId="3" borderId="1" xfId="22" applyFont="1" applyFill="1" applyBorder="1" applyAlignment="1">
      <alignment horizontal="center"/>
      <protection/>
    </xf>
    <xf numFmtId="164" fontId="1" fillId="14" borderId="1" xfId="22" applyFont="1" applyFill="1" applyBorder="1" applyAlignment="1">
      <alignment horizontal="center"/>
      <protection/>
    </xf>
    <xf numFmtId="170" fontId="1" fillId="2" borderId="10" xfId="22" applyNumberFormat="1" applyFont="1" applyFill="1" applyBorder="1" applyAlignment="1">
      <alignment vertical="center"/>
      <protection/>
    </xf>
    <xf numFmtId="164" fontId="3" fillId="2" borderId="17" xfId="22" applyFont="1" applyFill="1" applyBorder="1">
      <alignment/>
      <protection/>
    </xf>
    <xf numFmtId="164" fontId="1" fillId="2" borderId="0" xfId="22" applyFont="1" applyFill="1" applyAlignment="1">
      <alignment horizontal="center"/>
      <protection/>
    </xf>
    <xf numFmtId="164" fontId="8" fillId="2" borderId="0" xfId="22" applyFont="1" applyFill="1" applyAlignment="1">
      <alignment horizontal="center"/>
      <protection/>
    </xf>
    <xf numFmtId="164" fontId="1" fillId="2" borderId="10" xfId="22" applyFont="1" applyFill="1" applyBorder="1">
      <alignment/>
      <protection/>
    </xf>
    <xf numFmtId="170" fontId="1" fillId="2" borderId="0" xfId="22" applyNumberFormat="1" applyFont="1" applyFill="1" applyAlignment="1">
      <alignment horizontal="center"/>
      <protection/>
    </xf>
    <xf numFmtId="170" fontId="8" fillId="2" borderId="0" xfId="22" applyNumberFormat="1" applyFont="1" applyFill="1" applyAlignment="1">
      <alignment horizontal="center"/>
      <protection/>
    </xf>
    <xf numFmtId="164" fontId="1" fillId="0" borderId="20" xfId="22" applyFont="1" applyBorder="1" applyAlignment="1">
      <alignment horizontal="center"/>
      <protection/>
    </xf>
    <xf numFmtId="164" fontId="1" fillId="2" borderId="1" xfId="22" applyFont="1" applyFill="1" applyBorder="1" applyAlignment="1">
      <alignment horizontal="center"/>
      <protection/>
    </xf>
    <xf numFmtId="170" fontId="1" fillId="2" borderId="1" xfId="22" applyNumberFormat="1" applyFont="1" applyFill="1" applyBorder="1" applyAlignment="1">
      <alignment horizontal="center"/>
      <protection/>
    </xf>
    <xf numFmtId="170" fontId="8" fillId="2" borderId="1" xfId="22" applyNumberFormat="1" applyFont="1" applyFill="1" applyBorder="1" applyAlignment="1">
      <alignment horizontal="center"/>
      <protection/>
    </xf>
    <xf numFmtId="164" fontId="1" fillId="0" borderId="0" xfId="22" applyFont="1" applyBorder="1" applyAlignment="1">
      <alignment horizontal="center"/>
      <protection/>
    </xf>
    <xf numFmtId="164" fontId="1" fillId="2" borderId="0" xfId="22" applyFont="1" applyFill="1" applyBorder="1" applyAlignment="1">
      <alignment horizontal="center"/>
      <protection/>
    </xf>
    <xf numFmtId="170" fontId="1" fillId="2" borderId="0" xfId="22" applyNumberFormat="1" applyFont="1" applyFill="1" applyBorder="1" applyAlignment="1">
      <alignment horizontal="center"/>
      <protection/>
    </xf>
    <xf numFmtId="170" fontId="8" fillId="2" borderId="0" xfId="22" applyNumberFormat="1" applyFont="1" applyFill="1" applyBorder="1" applyAlignment="1">
      <alignment horizontal="center"/>
      <protection/>
    </xf>
    <xf numFmtId="164" fontId="13" fillId="15" borderId="0" xfId="22" applyFont="1" applyFill="1" applyAlignment="1">
      <alignment vertical="center"/>
      <protection/>
    </xf>
    <xf numFmtId="170" fontId="1" fillId="15" borderId="10" xfId="22" applyNumberFormat="1" applyFont="1" applyFill="1" applyBorder="1" applyAlignment="1">
      <alignment vertical="center"/>
      <protection/>
    </xf>
    <xf numFmtId="164" fontId="1" fillId="0" borderId="0" xfId="22" applyFont="1" applyBorder="1">
      <alignment/>
      <protection/>
    </xf>
    <xf numFmtId="164" fontId="1" fillId="2" borderId="2" xfId="22" applyFont="1" applyFill="1" applyBorder="1">
      <alignment/>
      <protection/>
    </xf>
    <xf numFmtId="164" fontId="1" fillId="2" borderId="2" xfId="22" applyFont="1" applyFill="1" applyBorder="1" applyAlignment="1">
      <alignment horizontal="center"/>
      <protection/>
    </xf>
    <xf numFmtId="164" fontId="8" fillId="2" borderId="1" xfId="22" applyFont="1" applyFill="1" applyBorder="1" applyAlignment="1">
      <alignment horizontal="center"/>
      <protection/>
    </xf>
    <xf numFmtId="170" fontId="1" fillId="2" borderId="12" xfId="22" applyNumberFormat="1" applyFont="1" applyFill="1" applyBorder="1" applyAlignment="1">
      <alignment vertical="center"/>
      <protection/>
    </xf>
    <xf numFmtId="164" fontId="8" fillId="12" borderId="1" xfId="22" applyFont="1" applyFill="1" applyBorder="1" applyAlignment="1">
      <alignment vertical="center"/>
      <protection/>
    </xf>
    <xf numFmtId="170" fontId="1" fillId="12" borderId="12" xfId="22" applyNumberFormat="1" applyFont="1" applyFill="1" applyBorder="1" applyAlignment="1">
      <alignment vertical="center"/>
      <protection/>
    </xf>
    <xf numFmtId="164" fontId="13" fillId="2" borderId="12" xfId="22" applyFont="1" applyFill="1" applyBorder="1" applyAlignment="1">
      <alignment vertical="center"/>
      <protection/>
    </xf>
    <xf numFmtId="164" fontId="1" fillId="2" borderId="11" xfId="22" applyFont="1" applyFill="1" applyBorder="1" applyAlignment="1">
      <alignment horizontal="center"/>
      <protection/>
    </xf>
    <xf numFmtId="170" fontId="8" fillId="2" borderId="11" xfId="22" applyNumberFormat="1" applyFont="1" applyFill="1" applyBorder="1" applyAlignment="1">
      <alignment horizontal="center"/>
      <protection/>
    </xf>
    <xf numFmtId="170" fontId="1" fillId="2" borderId="11" xfId="22" applyNumberFormat="1" applyFont="1" applyFill="1" applyBorder="1" applyAlignment="1">
      <alignment horizontal="center"/>
      <protection/>
    </xf>
    <xf numFmtId="164" fontId="18" fillId="2" borderId="17" xfId="22" applyFont="1" applyFill="1" applyBorder="1">
      <alignment/>
      <protection/>
    </xf>
    <xf numFmtId="164" fontId="1" fillId="0" borderId="9" xfId="22" applyFont="1" applyBorder="1">
      <alignment/>
      <protection/>
    </xf>
    <xf numFmtId="164" fontId="1" fillId="0" borderId="0" xfId="22" applyFont="1" applyAlignment="1">
      <alignment horizontal="center"/>
      <protection/>
    </xf>
    <xf numFmtId="170" fontId="8" fillId="12" borderId="12" xfId="22" applyNumberFormat="1" applyFont="1" applyFill="1" applyBorder="1" applyAlignment="1">
      <alignment vertical="center"/>
      <protection/>
    </xf>
    <xf numFmtId="164" fontId="1" fillId="2" borderId="9" xfId="22" applyFont="1" applyFill="1" applyBorder="1" applyAlignment="1">
      <alignment horizontal="center"/>
      <protection/>
    </xf>
    <xf numFmtId="164" fontId="1" fillId="12" borderId="1" xfId="22" applyFont="1" applyFill="1" applyBorder="1" applyAlignment="1">
      <alignment vertical="center"/>
      <protection/>
    </xf>
    <xf numFmtId="164" fontId="13" fillId="2" borderId="22" xfId="22" applyFont="1" applyFill="1" applyBorder="1" applyAlignment="1">
      <alignment vertical="center"/>
      <protection/>
    </xf>
    <xf numFmtId="170" fontId="1" fillId="2" borderId="8" xfId="22" applyNumberFormat="1" applyFont="1" applyFill="1" applyBorder="1" applyAlignment="1">
      <alignment vertical="center"/>
      <protection/>
    </xf>
    <xf numFmtId="170" fontId="1" fillId="2" borderId="18" xfId="22" applyNumberFormat="1" applyFont="1" applyFill="1" applyBorder="1" applyAlignment="1">
      <alignment vertical="center"/>
      <protection/>
    </xf>
    <xf numFmtId="164" fontId="1" fillId="0" borderId="19" xfId="22" applyFont="1" applyBorder="1">
      <alignment/>
      <protection/>
    </xf>
    <xf numFmtId="170" fontId="1" fillId="2" borderId="17" xfId="22" applyNumberFormat="1" applyFont="1" applyFill="1" applyBorder="1" applyAlignment="1">
      <alignment vertical="center"/>
      <protection/>
    </xf>
    <xf numFmtId="170" fontId="1" fillId="2" borderId="23" xfId="22" applyNumberFormat="1" applyFont="1" applyFill="1" applyBorder="1" applyAlignment="1">
      <alignment vertical="center"/>
      <protection/>
    </xf>
    <xf numFmtId="170" fontId="1" fillId="2" borderId="19" xfId="22" applyNumberFormat="1" applyFont="1" applyFill="1" applyBorder="1" applyAlignment="1">
      <alignment vertical="center"/>
      <protection/>
    </xf>
    <xf numFmtId="164" fontId="1" fillId="0" borderId="24" xfId="22" applyFont="1" applyBorder="1">
      <alignment/>
      <protection/>
    </xf>
    <xf numFmtId="170" fontId="1" fillId="12" borderId="13" xfId="22" applyNumberFormat="1" applyFont="1" applyFill="1" applyBorder="1" applyAlignment="1">
      <alignment vertical="center"/>
      <protection/>
    </xf>
    <xf numFmtId="170" fontId="1" fillId="15" borderId="17" xfId="22" applyNumberFormat="1" applyFont="1" applyFill="1" applyBorder="1" applyAlignment="1">
      <alignment vertical="center"/>
      <protection/>
    </xf>
    <xf numFmtId="164" fontId="13" fillId="2" borderId="13" xfId="22" applyFont="1" applyFill="1" applyBorder="1" applyAlignment="1">
      <alignment vertical="center"/>
      <protection/>
    </xf>
    <xf numFmtId="164" fontId="3" fillId="2" borderId="0" xfId="22" applyFont="1" applyFill="1" applyBorder="1">
      <alignment/>
      <protection/>
    </xf>
    <xf numFmtId="164" fontId="8" fillId="2" borderId="0" xfId="22" applyFont="1" applyFill="1" applyBorder="1" applyAlignment="1">
      <alignment horizontal="center"/>
      <protection/>
    </xf>
    <xf numFmtId="173" fontId="1" fillId="2" borderId="0" xfId="22" applyNumberFormat="1" applyFont="1" applyFill="1">
      <alignment/>
      <protection/>
    </xf>
    <xf numFmtId="173" fontId="1" fillId="12" borderId="0" xfId="22" applyNumberFormat="1" applyFont="1" applyFill="1">
      <alignment/>
      <protection/>
    </xf>
    <xf numFmtId="164" fontId="16" fillId="2" borderId="0" xfId="22" applyFont="1" applyFill="1">
      <alignment/>
      <protection/>
    </xf>
    <xf numFmtId="164" fontId="1" fillId="16" borderId="3" xfId="22" applyFont="1" applyFill="1" applyBorder="1">
      <alignment/>
      <protection/>
    </xf>
    <xf numFmtId="173" fontId="1" fillId="16" borderId="3" xfId="22" applyNumberFormat="1" applyFont="1" applyFill="1" applyBorder="1">
      <alignment/>
      <protection/>
    </xf>
    <xf numFmtId="164" fontId="1" fillId="2" borderId="15" xfId="22" applyFont="1" applyFill="1" applyBorder="1">
      <alignment/>
      <protection/>
    </xf>
    <xf numFmtId="164" fontId="1" fillId="2" borderId="18" xfId="22" applyFont="1" applyFill="1" applyBorder="1">
      <alignment/>
      <protection/>
    </xf>
    <xf numFmtId="164" fontId="5" fillId="2" borderId="2" xfId="22" applyFont="1" applyFill="1" applyBorder="1">
      <alignment/>
      <protection/>
    </xf>
    <xf numFmtId="170" fontId="1" fillId="12" borderId="10" xfId="22" applyNumberFormat="1" applyFont="1" applyFill="1" applyBorder="1" applyAlignment="1">
      <alignment horizontal="right"/>
      <protection/>
    </xf>
    <xf numFmtId="170" fontId="1" fillId="12" borderId="17" xfId="22" applyNumberFormat="1" applyFont="1" applyFill="1" applyBorder="1" applyAlignment="1">
      <alignment horizontal="right"/>
      <protection/>
    </xf>
    <xf numFmtId="170" fontId="1" fillId="2" borderId="17" xfId="22" applyNumberFormat="1" applyFont="1" applyFill="1" applyBorder="1">
      <alignment/>
      <protection/>
    </xf>
    <xf numFmtId="170" fontId="1" fillId="12" borderId="15" xfId="22" applyNumberFormat="1" applyFont="1" applyFill="1" applyBorder="1" applyAlignment="1">
      <alignment horizontal="right"/>
      <protection/>
    </xf>
    <xf numFmtId="170" fontId="1" fillId="12" borderId="16" xfId="22" applyNumberFormat="1" applyFont="1" applyFill="1" applyBorder="1" applyAlignment="1">
      <alignment horizontal="right"/>
      <protection/>
    </xf>
    <xf numFmtId="170" fontId="1" fillId="6" borderId="8" xfId="22" applyNumberFormat="1" applyFont="1" applyFill="1" applyBorder="1">
      <alignment/>
      <protection/>
    </xf>
    <xf numFmtId="170" fontId="1" fillId="6" borderId="18" xfId="22" applyNumberFormat="1" applyFont="1" applyFill="1" applyBorder="1">
      <alignment/>
      <protection/>
    </xf>
    <xf numFmtId="164" fontId="3" fillId="2" borderId="14" xfId="22" applyFont="1" applyFill="1" applyBorder="1">
      <alignment/>
      <protection/>
    </xf>
    <xf numFmtId="170" fontId="1" fillId="12" borderId="9" xfId="22" applyNumberFormat="1" applyFont="1" applyFill="1" applyBorder="1">
      <alignment/>
      <protection/>
    </xf>
    <xf numFmtId="170" fontId="1" fillId="2" borderId="9" xfId="22" applyNumberFormat="1" applyFont="1" applyFill="1" applyBorder="1">
      <alignment/>
      <protection/>
    </xf>
    <xf numFmtId="170" fontId="1" fillId="12" borderId="11" xfId="22" applyNumberFormat="1" applyFont="1" applyFill="1" applyBorder="1">
      <alignment/>
      <protection/>
    </xf>
    <xf numFmtId="170" fontId="1" fillId="12" borderId="14" xfId="22" applyNumberFormat="1" applyFont="1" applyFill="1" applyBorder="1">
      <alignment/>
      <protection/>
    </xf>
    <xf numFmtId="170" fontId="1" fillId="6" borderId="14" xfId="22" applyNumberFormat="1" applyFont="1" applyFill="1" applyBorder="1">
      <alignment/>
      <protection/>
    </xf>
    <xf numFmtId="164" fontId="5" fillId="2" borderId="15" xfId="22" applyFont="1" applyFill="1" applyBorder="1" applyAlignment="1">
      <alignment horizontal="center" vertical="center" wrapText="1"/>
      <protection/>
    </xf>
    <xf numFmtId="164" fontId="3" fillId="2" borderId="15" xfId="22" applyFont="1" applyFill="1" applyBorder="1">
      <alignment/>
      <protection/>
    </xf>
    <xf numFmtId="164" fontId="1" fillId="2" borderId="8" xfId="22" applyFont="1" applyFill="1" applyBorder="1">
      <alignment/>
      <protection/>
    </xf>
    <xf numFmtId="170" fontId="1" fillId="12" borderId="8" xfId="22" applyNumberFormat="1" applyFont="1" applyFill="1" applyBorder="1">
      <alignment/>
      <protection/>
    </xf>
    <xf numFmtId="170" fontId="1" fillId="12" borderId="10" xfId="22" applyNumberFormat="1" applyFont="1" applyFill="1" applyBorder="1">
      <alignment/>
      <protection/>
    </xf>
    <xf numFmtId="170" fontId="1" fillId="6" borderId="10" xfId="22" applyNumberFormat="1" applyFont="1" applyFill="1" applyBorder="1">
      <alignment/>
      <protection/>
    </xf>
    <xf numFmtId="170" fontId="1" fillId="2" borderId="15" xfId="22" applyNumberFormat="1" applyFont="1" applyFill="1" applyBorder="1">
      <alignment/>
      <protection/>
    </xf>
    <xf numFmtId="170" fontId="1" fillId="6" borderId="15" xfId="22" applyNumberFormat="1" applyFont="1" applyFill="1" applyBorder="1">
      <alignment/>
      <protection/>
    </xf>
    <xf numFmtId="170" fontId="1" fillId="6" borderId="7" xfId="22" applyNumberFormat="1" applyFont="1" applyFill="1" applyBorder="1">
      <alignment/>
      <protection/>
    </xf>
    <xf numFmtId="170" fontId="1" fillId="6" borderId="9" xfId="22" applyNumberFormat="1" applyFont="1" applyFill="1" applyBorder="1">
      <alignment/>
      <protection/>
    </xf>
    <xf numFmtId="170" fontId="1" fillId="2" borderId="0" xfId="22" applyNumberFormat="1" applyFont="1" applyFill="1">
      <alignment/>
      <protection/>
    </xf>
    <xf numFmtId="170" fontId="1" fillId="6" borderId="3" xfId="22" applyNumberFormat="1" applyFont="1" applyFill="1" applyBorder="1">
      <alignment/>
      <protection/>
    </xf>
    <xf numFmtId="164" fontId="1" fillId="2" borderId="0" xfId="22" applyFont="1" applyFill="1" applyAlignment="1">
      <alignment wrapText="1"/>
      <protection/>
    </xf>
    <xf numFmtId="164" fontId="3" fillId="2" borderId="18" xfId="22" applyFont="1" applyFill="1" applyBorder="1" applyAlignment="1">
      <alignment wrapText="1"/>
      <protection/>
    </xf>
    <xf numFmtId="164" fontId="5" fillId="2" borderId="1" xfId="22" applyFont="1" applyFill="1" applyBorder="1">
      <alignment/>
      <protection/>
    </xf>
    <xf numFmtId="164" fontId="5" fillId="2" borderId="11" xfId="22" applyFont="1" applyFill="1" applyBorder="1">
      <alignment/>
      <protection/>
    </xf>
    <xf numFmtId="173" fontId="1" fillId="2" borderId="0" xfId="22" applyNumberFormat="1" applyFont="1" applyFill="1" applyBorder="1" applyAlignment="1">
      <alignment horizontal="right"/>
      <protection/>
    </xf>
    <xf numFmtId="173" fontId="1" fillId="2" borderId="8" xfId="22" applyNumberFormat="1" applyFont="1" applyFill="1" applyBorder="1">
      <alignment/>
      <protection/>
    </xf>
    <xf numFmtId="173" fontId="1" fillId="2" borderId="10" xfId="22" applyNumberFormat="1" applyFont="1" applyFill="1" applyBorder="1">
      <alignment/>
      <protection/>
    </xf>
    <xf numFmtId="173" fontId="1" fillId="0" borderId="0" xfId="22" applyNumberFormat="1" applyFont="1" applyFill="1" applyBorder="1" applyAlignment="1">
      <alignment horizontal="right"/>
      <protection/>
    </xf>
    <xf numFmtId="164" fontId="8" fillId="2" borderId="17" xfId="22" applyFont="1" applyFill="1" applyBorder="1">
      <alignment/>
      <protection/>
    </xf>
    <xf numFmtId="173" fontId="8" fillId="2" borderId="10" xfId="22" applyNumberFormat="1" applyFont="1" applyFill="1" applyBorder="1">
      <alignment/>
      <protection/>
    </xf>
    <xf numFmtId="173" fontId="1" fillId="2" borderId="12" xfId="22" applyNumberFormat="1" applyFont="1" applyFill="1" applyBorder="1">
      <alignment/>
      <protection/>
    </xf>
    <xf numFmtId="164" fontId="1" fillId="16" borderId="16" xfId="22" applyFont="1" applyFill="1" applyBorder="1">
      <alignment/>
      <protection/>
    </xf>
    <xf numFmtId="173" fontId="1" fillId="16" borderId="2" xfId="22" applyNumberFormat="1" applyFont="1" applyFill="1" applyBorder="1">
      <alignment/>
      <protection/>
    </xf>
    <xf numFmtId="173" fontId="1" fillId="16" borderId="15" xfId="22" applyNumberFormat="1" applyFont="1" applyFill="1" applyBorder="1">
      <alignment/>
      <protection/>
    </xf>
    <xf numFmtId="164" fontId="3" fillId="2" borderId="18" xfId="22" applyFont="1" applyFill="1" applyBorder="1">
      <alignment/>
      <protection/>
    </xf>
    <xf numFmtId="173" fontId="1" fillId="2" borderId="0" xfId="22" applyNumberFormat="1" applyFont="1" applyFill="1" applyBorder="1">
      <alignment/>
      <protection/>
    </xf>
    <xf numFmtId="173" fontId="1" fillId="2" borderId="10" xfId="22" applyNumberFormat="1" applyFont="1" applyFill="1" applyBorder="1" applyAlignment="1">
      <alignment horizontal="right"/>
      <protection/>
    </xf>
    <xf numFmtId="164" fontId="1" fillId="17" borderId="16" xfId="22" applyFont="1" applyFill="1" applyBorder="1">
      <alignment/>
      <protection/>
    </xf>
    <xf numFmtId="173" fontId="1" fillId="17" borderId="2" xfId="22" applyNumberFormat="1" applyFont="1" applyFill="1" applyBorder="1">
      <alignment/>
      <protection/>
    </xf>
    <xf numFmtId="173" fontId="1" fillId="17" borderId="14" xfId="22" applyNumberFormat="1" applyFont="1" applyFill="1" applyBorder="1">
      <alignment/>
      <protection/>
    </xf>
    <xf numFmtId="164" fontId="3" fillId="18" borderId="0" xfId="22" applyFont="1" applyFill="1">
      <alignment/>
      <protection/>
    </xf>
    <xf numFmtId="173" fontId="3" fillId="18" borderId="0" xfId="22" applyNumberFormat="1" applyFont="1" applyFill="1" applyBorder="1">
      <alignment/>
      <protection/>
    </xf>
    <xf numFmtId="166" fontId="1" fillId="2" borderId="0" xfId="22" applyNumberFormat="1" applyFont="1" applyFill="1">
      <alignment/>
      <protection/>
    </xf>
    <xf numFmtId="164" fontId="12" fillId="0" borderId="0" xfId="21" applyFont="1">
      <alignment vertical="center"/>
      <protection/>
    </xf>
    <xf numFmtId="164" fontId="19" fillId="19" borderId="0" xfId="21" applyNumberFormat="1" applyFont="1" applyFill="1" applyBorder="1" applyAlignment="1">
      <alignment horizontal="left" vertical="center"/>
      <protection/>
    </xf>
    <xf numFmtId="164" fontId="12" fillId="0" borderId="1" xfId="21" applyNumberFormat="1" applyFont="1" applyFill="1" applyBorder="1" applyAlignment="1">
      <alignment wrapText="1"/>
      <protection/>
    </xf>
    <xf numFmtId="164" fontId="12" fillId="20" borderId="15" xfId="21" applyNumberFormat="1" applyFont="1" applyFill="1" applyBorder="1" applyAlignment="1">
      <alignment wrapText="1"/>
      <protection/>
    </xf>
    <xf numFmtId="164" fontId="12" fillId="20" borderId="14" xfId="21" applyNumberFormat="1" applyFont="1" applyFill="1" applyBorder="1" applyAlignment="1">
      <alignment wrapText="1"/>
      <protection/>
    </xf>
    <xf numFmtId="164" fontId="12" fillId="17" borderId="15" xfId="21" applyNumberFormat="1" applyFont="1" applyFill="1" applyBorder="1" applyAlignment="1">
      <alignment vertical="center"/>
      <protection/>
    </xf>
    <xf numFmtId="175" fontId="12" fillId="17" borderId="15" xfId="21" applyNumberFormat="1" applyFont="1" applyFill="1" applyBorder="1" applyAlignment="1">
      <alignment vertical="center"/>
      <protection/>
    </xf>
    <xf numFmtId="167" fontId="12" fillId="17" borderId="15" xfId="21" applyNumberFormat="1" applyFont="1" applyFill="1" applyBorder="1" applyAlignment="1">
      <alignment vertical="center"/>
      <protection/>
    </xf>
    <xf numFmtId="164" fontId="12" fillId="0" borderId="15" xfId="21" applyNumberFormat="1" applyFont="1" applyFill="1" applyBorder="1" applyAlignment="1">
      <alignment vertical="center"/>
      <protection/>
    </xf>
    <xf numFmtId="176" fontId="12" fillId="0" borderId="15" xfId="21" applyNumberFormat="1" applyFont="1" applyFill="1" applyBorder="1" applyAlignment="1">
      <alignment horizontal="right" vertical="center"/>
      <protection/>
    </xf>
    <xf numFmtId="177" fontId="12" fillId="2" borderId="15" xfId="21" applyNumberFormat="1" applyFont="1" applyFill="1" applyBorder="1" applyAlignment="1">
      <alignment vertical="center"/>
      <protection/>
    </xf>
    <xf numFmtId="175" fontId="12" fillId="0" borderId="15" xfId="21" applyNumberFormat="1" applyFont="1" applyFill="1" applyBorder="1" applyAlignment="1">
      <alignment vertical="center"/>
      <protection/>
    </xf>
    <xf numFmtId="164" fontId="12" fillId="0" borderId="15" xfId="21" applyNumberFormat="1" applyFont="1" applyFill="1" applyBorder="1" applyAlignment="1">
      <alignment horizontal="right" vertical="center"/>
      <protection/>
    </xf>
    <xf numFmtId="177" fontId="12" fillId="0" borderId="15" xfId="21" applyNumberFormat="1" applyFont="1" applyFill="1" applyBorder="1" applyAlignment="1">
      <alignment vertical="center"/>
      <protection/>
    </xf>
    <xf numFmtId="164" fontId="13" fillId="0" borderId="15" xfId="21" applyNumberFormat="1" applyFont="1" applyFill="1" applyBorder="1" applyAlignment="1">
      <alignment vertical="center"/>
      <protection/>
    </xf>
    <xf numFmtId="177" fontId="13" fillId="0" borderId="15" xfId="21" applyNumberFormat="1" applyFont="1" applyFill="1" applyBorder="1" applyAlignment="1">
      <alignment vertical="center"/>
      <protection/>
    </xf>
    <xf numFmtId="175" fontId="13" fillId="0" borderId="15" xfId="21" applyNumberFormat="1" applyFont="1" applyFill="1" applyBorder="1" applyAlignment="1">
      <alignment vertical="center"/>
      <protection/>
    </xf>
    <xf numFmtId="164" fontId="12" fillId="0" borderId="2" xfId="21" applyNumberFormat="1" applyFont="1" applyFill="1" applyBorder="1" applyAlignment="1">
      <alignment wrapText="1"/>
      <protection/>
    </xf>
    <xf numFmtId="164" fontId="12" fillId="0" borderId="3" xfId="21" applyNumberFormat="1" applyFont="1" applyFill="1" applyBorder="1" applyAlignment="1">
      <alignment wrapText="1"/>
      <protection/>
    </xf>
    <xf numFmtId="164" fontId="13" fillId="0" borderId="0" xfId="21" applyFont="1">
      <alignment vertical="center"/>
      <protection/>
    </xf>
    <xf numFmtId="164" fontId="12" fillId="6" borderId="0" xfId="21" applyFont="1" applyFill="1" applyBorder="1" applyAlignment="1">
      <alignment horizontal="center" vertical="center" wrapText="1"/>
      <protection/>
    </xf>
    <xf numFmtId="164" fontId="1" fillId="12" borderId="10" xfId="22" applyFont="1" applyFill="1" applyBorder="1">
      <alignment/>
      <protection/>
    </xf>
    <xf numFmtId="164" fontId="1" fillId="12" borderId="17" xfId="22" applyFont="1" applyFill="1" applyBorder="1">
      <alignment/>
      <protection/>
    </xf>
    <xf numFmtId="164" fontId="1" fillId="3" borderId="10" xfId="22" applyFont="1" applyFill="1" applyBorder="1">
      <alignment/>
      <protection/>
    </xf>
    <xf numFmtId="164" fontId="16" fillId="12" borderId="17" xfId="22" applyFont="1" applyFill="1" applyBorder="1">
      <alignment/>
      <protection/>
    </xf>
    <xf numFmtId="164" fontId="1" fillId="2" borderId="12" xfId="22" applyFont="1" applyFill="1" applyBorder="1">
      <alignment/>
      <protection/>
    </xf>
    <xf numFmtId="164" fontId="1" fillId="12" borderId="12" xfId="22" applyFont="1" applyFill="1" applyBorder="1">
      <alignment/>
      <protection/>
    </xf>
    <xf numFmtId="164" fontId="1" fillId="12" borderId="13" xfId="22" applyFont="1" applyFill="1" applyBorder="1">
      <alignment/>
      <protection/>
    </xf>
    <xf numFmtId="164" fontId="1" fillId="3" borderId="12" xfId="22" applyFont="1" applyFill="1" applyBorder="1">
      <alignment/>
      <protection/>
    </xf>
    <xf numFmtId="164" fontId="1" fillId="3" borderId="13" xfId="22" applyFont="1" applyFill="1" applyBorder="1">
      <alignment/>
      <protection/>
    </xf>
    <xf numFmtId="164" fontId="1" fillId="6" borderId="15" xfId="22" applyFont="1" applyFill="1" applyBorder="1">
      <alignment/>
      <protection/>
    </xf>
    <xf numFmtId="164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 1" xfId="22"/>
    <cellStyle name="Excel Built-in Explanatory Text" xfId="23"/>
  </cellStyles>
  <dxfs count="2">
    <dxf>
      <font>
        <b val="0"/>
        <i val="0"/>
        <color rgb="FF9C0006"/>
      </font>
      <fill>
        <patternFill patternType="solid">
          <fgColor rgb="FFF8CBAD"/>
          <bgColor rgb="FFFFC7CE"/>
        </patternFill>
      </fill>
      <border/>
    </dxf>
    <dxf>
      <font>
        <b val="0"/>
        <i val="0"/>
        <color rgb="FF006100"/>
      </font>
      <fill>
        <patternFill patternType="solid">
          <fgColor rgb="FFE2F0D9"/>
          <bgColor rgb="FFC6EF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9C9C9"/>
      <rgbColor rgb="007F7F7F"/>
      <rgbColor rgb="009999FF"/>
      <rgbColor rgb="00FF3333"/>
      <rgbColor rgb="00E2F0D9"/>
      <rgbColor rgb="00EDEDED"/>
      <rgbColor rgb="00660066"/>
      <rgbColor rgb="00FF8080"/>
      <rgbColor rgb="000066CC"/>
      <rgbColor rgb="00BDD7EE"/>
      <rgbColor rgb="00000080"/>
      <rgbColor rgb="00FF00FF"/>
      <rgbColor rgb="00FFD966"/>
      <rgbColor rgb="0000FFFF"/>
      <rgbColor rgb="00800080"/>
      <rgbColor rgb="00800000"/>
      <rgbColor rgb="00008080"/>
      <rgbColor rgb="000000FF"/>
      <rgbColor rgb="0000B0F0"/>
      <rgbColor rgb="00E7E6E6"/>
      <rgbColor rgb="00C6EFCE"/>
      <rgbColor rgb="00FFE699"/>
      <rgbColor rgb="0083CAFF"/>
      <rgbColor rgb="00FFC7CE"/>
      <rgbColor rgb="00DBDBDB"/>
      <rgbColor rgb="00F8CBAD"/>
      <rgbColor rgb="003366FF"/>
      <rgbColor rgb="0033CCCC"/>
      <rgbColor rgb="0092D050"/>
      <rgbColor rgb="00FFC000"/>
      <rgbColor rgb="00FF9900"/>
      <rgbColor rgb="00C55A11"/>
      <rgbColor rgb="0044546A"/>
      <rgbColor rgb="00A9D18E"/>
      <rgbColor rgb="00002060"/>
      <rgbColor rgb="0000B050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="60" zoomScaleNormal="60" workbookViewId="0" topLeftCell="A1">
      <pane ySplit="1" topLeftCell="A59" activePane="bottomLeft" state="frozen"/>
      <selection pane="topLeft" activeCell="A1" sqref="A1"/>
      <selection pane="bottomLeft" activeCell="C96" sqref="C96"/>
    </sheetView>
  </sheetViews>
  <sheetFormatPr defaultColWidth="12.57421875" defaultRowHeight="12.75"/>
  <cols>
    <col min="1" max="1" width="21.421875" style="1" customWidth="1"/>
    <col min="2" max="2" width="50.28125" style="1" customWidth="1"/>
    <col min="3" max="7" width="20.421875" style="1" customWidth="1"/>
    <col min="8" max="8" width="21.8515625" style="1" customWidth="1"/>
    <col min="9" max="9" width="20.421875" style="1" customWidth="1"/>
    <col min="10" max="16384" width="12.57421875" style="1" customWidth="1"/>
  </cols>
  <sheetData>
    <row r="1" spans="1:9" ht="12.75">
      <c r="A1" s="2" t="s">
        <v>0</v>
      </c>
      <c r="B1" s="2"/>
      <c r="C1" s="3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7" t="s">
        <v>7</v>
      </c>
    </row>
    <row r="2" spans="1:9" ht="12.75">
      <c r="A2" s="8" t="s">
        <v>8</v>
      </c>
      <c r="B2" s="8"/>
      <c r="C2" s="9" t="s">
        <v>1</v>
      </c>
      <c r="D2" s="9" t="s">
        <v>2</v>
      </c>
      <c r="E2" s="4" t="s">
        <v>3</v>
      </c>
      <c r="F2" s="10" t="s">
        <v>4</v>
      </c>
      <c r="G2" s="11" t="s">
        <v>5</v>
      </c>
      <c r="H2" s="12" t="s">
        <v>6</v>
      </c>
      <c r="I2" s="13" t="s">
        <v>7</v>
      </c>
    </row>
    <row r="3" spans="1:9" ht="12.75">
      <c r="A3" s="1">
        <v>3010</v>
      </c>
      <c r="B3" s="1" t="s">
        <v>9</v>
      </c>
      <c r="C3" s="14">
        <f>Budsjett_enkel!C4</f>
        <v>0</v>
      </c>
      <c r="D3" s="14">
        <f>Budsjett_enkel!D4</f>
        <v>0</v>
      </c>
      <c r="E3" s="15">
        <v>0</v>
      </c>
      <c r="F3" s="15">
        <v>0</v>
      </c>
      <c r="G3" s="15">
        <v>-1816</v>
      </c>
      <c r="H3" s="16">
        <f>F3-E3</f>
        <v>0</v>
      </c>
      <c r="I3" s="17">
        <f>H3/E3</f>
        <v>0</v>
      </c>
    </row>
    <row r="4" spans="1:9" ht="12.75">
      <c r="A4" s="1">
        <v>3050</v>
      </c>
      <c r="B4" s="1" t="s">
        <v>10</v>
      </c>
      <c r="C4" s="14">
        <f>Budsjett_enkel!C5</f>
        <v>504400</v>
      </c>
      <c r="D4" s="14"/>
      <c r="E4" s="15"/>
      <c r="F4" s="15">
        <v>410002.79</v>
      </c>
      <c r="G4" s="15"/>
      <c r="H4" s="16">
        <f>F4-E4</f>
        <v>410002.79</v>
      </c>
      <c r="I4" s="17">
        <f>H4/E4</f>
        <v>0</v>
      </c>
    </row>
    <row r="5" spans="1:9" ht="12.75">
      <c r="A5" s="1">
        <v>3110</v>
      </c>
      <c r="B5" s="1" t="s">
        <v>11</v>
      </c>
      <c r="C5" s="14">
        <f>Budsjett_enkel!C6</f>
        <v>793756.1</v>
      </c>
      <c r="D5" s="14">
        <v>0</v>
      </c>
      <c r="E5" s="15">
        <v>1946129.4</v>
      </c>
      <c r="F5" s="15">
        <v>3998833.17</v>
      </c>
      <c r="G5" s="15">
        <v>1966875.09</v>
      </c>
      <c r="H5" s="16">
        <f>F5-E5</f>
        <v>2052703.77</v>
      </c>
      <c r="I5" s="17">
        <f>H5/E5</f>
        <v>1.0547622218748662</v>
      </c>
    </row>
    <row r="6" spans="1:9" ht="12.75">
      <c r="A6" s="18" t="s">
        <v>12</v>
      </c>
      <c r="C6" s="19">
        <f>C3+C4+C5</f>
        <v>1298156.1</v>
      </c>
      <c r="D6" s="19">
        <f>D3+D5</f>
        <v>0</v>
      </c>
      <c r="E6" s="20">
        <f>E3+E5</f>
        <v>1946129.4</v>
      </c>
      <c r="F6" s="20">
        <f>F3+F4+F5</f>
        <v>4408835.96</v>
      </c>
      <c r="G6" s="20">
        <f>G3+G5</f>
        <v>1965059.09</v>
      </c>
      <c r="H6" s="21">
        <f>F6-E6</f>
        <v>2462706.56</v>
      </c>
      <c r="I6" s="17">
        <f>H6/E6</f>
        <v>1.265438238587835</v>
      </c>
    </row>
    <row r="7" spans="1:9" ht="12.75">
      <c r="A7" s="18"/>
      <c r="C7" s="14"/>
      <c r="D7" s="14"/>
      <c r="E7" s="15"/>
      <c r="F7" s="15"/>
      <c r="G7" s="15"/>
      <c r="H7" s="16"/>
      <c r="I7" s="17"/>
    </row>
    <row r="8" spans="1:9" ht="12.75">
      <c r="A8" s="1">
        <v>3900</v>
      </c>
      <c r="B8" s="1" t="s">
        <v>13</v>
      </c>
      <c r="C8" s="14">
        <f>Budsjett_enkel!C8</f>
        <v>1040000</v>
      </c>
      <c r="D8" s="14">
        <v>0</v>
      </c>
      <c r="E8" s="15">
        <v>1310000</v>
      </c>
      <c r="F8" s="15">
        <v>1233309.2</v>
      </c>
      <c r="G8" s="15">
        <v>1336763.63</v>
      </c>
      <c r="H8" s="16">
        <f>F8-E8</f>
        <v>-76690.80000000005</v>
      </c>
      <c r="I8" s="17">
        <f>H8/E8</f>
        <v>-0.05854259541984736</v>
      </c>
    </row>
    <row r="9" spans="1:9" ht="12.75">
      <c r="A9" s="1">
        <v>3901</v>
      </c>
      <c r="B9" s="1" t="s">
        <v>14</v>
      </c>
      <c r="C9" s="14">
        <f>Budsjett_enkel!C9</f>
        <v>475000</v>
      </c>
      <c r="D9" s="14">
        <v>0</v>
      </c>
      <c r="E9" s="15">
        <v>475000</v>
      </c>
      <c r="F9" s="15">
        <v>482219</v>
      </c>
      <c r="G9" s="15">
        <v>537640</v>
      </c>
      <c r="H9" s="16">
        <f>F9-E9</f>
        <v>7219</v>
      </c>
      <c r="I9" s="17">
        <f>H9/E9</f>
        <v>0.015197894736842105</v>
      </c>
    </row>
    <row r="10" spans="1:9" ht="12.75">
      <c r="A10" s="1">
        <v>3910</v>
      </c>
      <c r="B10" s="1" t="s">
        <v>15</v>
      </c>
      <c r="C10" s="14">
        <f>Budsjett_enkel!C10</f>
        <v>1824643</v>
      </c>
      <c r="D10" s="14">
        <v>0</v>
      </c>
      <c r="E10" s="15">
        <v>1700000</v>
      </c>
      <c r="F10" s="15">
        <v>1763560</v>
      </c>
      <c r="G10" s="15">
        <v>1686177</v>
      </c>
      <c r="H10" s="16">
        <f>F10-E10</f>
        <v>63560</v>
      </c>
      <c r="I10" s="17">
        <f>H10/E10</f>
        <v>0.037388235294117646</v>
      </c>
    </row>
    <row r="11" spans="1:9" ht="12.75">
      <c r="A11" s="1">
        <v>3911</v>
      </c>
      <c r="B11" s="1" t="s">
        <v>16</v>
      </c>
      <c r="C11" s="14">
        <f>Budsjett_enkel!C11</f>
        <v>0</v>
      </c>
      <c r="D11" s="14">
        <v>0</v>
      </c>
      <c r="E11" s="15">
        <v>260000</v>
      </c>
      <c r="F11" s="15">
        <v>240000</v>
      </c>
      <c r="G11" s="15">
        <v>66946</v>
      </c>
      <c r="H11" s="16">
        <f>F11-E11</f>
        <v>-20000</v>
      </c>
      <c r="I11" s="17">
        <f>H11/E11</f>
        <v>-0.07692307692307693</v>
      </c>
    </row>
    <row r="12" spans="1:9" ht="12.75">
      <c r="A12" s="1">
        <v>3922</v>
      </c>
      <c r="B12" s="1" t="s">
        <v>17</v>
      </c>
      <c r="C12" s="14">
        <f>Budsjett_enkel!C12</f>
        <v>1178886.8</v>
      </c>
      <c r="D12" s="14">
        <v>0</v>
      </c>
      <c r="E12" s="15">
        <v>0</v>
      </c>
      <c r="F12" s="15">
        <v>0</v>
      </c>
      <c r="G12" s="15">
        <v>0</v>
      </c>
      <c r="H12" s="16">
        <f>F12-E12</f>
        <v>0</v>
      </c>
      <c r="I12" s="17">
        <f>H12/E12</f>
        <v>0</v>
      </c>
    </row>
    <row r="13" spans="1:9" ht="12.75">
      <c r="A13" s="1">
        <v>3927</v>
      </c>
      <c r="B13" s="1" t="s">
        <v>18</v>
      </c>
      <c r="C13" s="14">
        <f>Budsjett_enkel!C13</f>
        <v>500000</v>
      </c>
      <c r="D13" s="14">
        <v>0</v>
      </c>
      <c r="E13" s="15">
        <v>450000</v>
      </c>
      <c r="F13" s="15">
        <v>478454</v>
      </c>
      <c r="G13" s="15">
        <v>394580</v>
      </c>
      <c r="H13" s="16">
        <f>F13-E13</f>
        <v>28454</v>
      </c>
      <c r="I13" s="17">
        <f>H13/E13</f>
        <v>0.06323111111111111</v>
      </c>
    </row>
    <row r="14" spans="1:9" ht="12.75">
      <c r="A14" s="1">
        <v>3930</v>
      </c>
      <c r="B14" s="1" t="s">
        <v>19</v>
      </c>
      <c r="C14" s="14">
        <f>Budsjett_enkel!C14</f>
        <v>150000</v>
      </c>
      <c r="D14" s="14">
        <v>0</v>
      </c>
      <c r="E14" s="15">
        <v>150000</v>
      </c>
      <c r="F14" s="15">
        <v>128915.24</v>
      </c>
      <c r="G14" s="15">
        <v>139743.4</v>
      </c>
      <c r="H14" s="16">
        <f>F14-E14</f>
        <v>-21084.759999999995</v>
      </c>
      <c r="I14" s="17">
        <f>H14/E14</f>
        <v>-0.14056506666666663</v>
      </c>
    </row>
    <row r="15" spans="1:9" ht="12.75">
      <c r="A15" s="1">
        <v>3950</v>
      </c>
      <c r="B15" s="1" t="s">
        <v>20</v>
      </c>
      <c r="C15" s="14">
        <f>Budsjett_enkel!C15</f>
        <v>160000</v>
      </c>
      <c r="D15" s="14">
        <v>0</v>
      </c>
      <c r="E15" s="15">
        <v>180000</v>
      </c>
      <c r="F15" s="15">
        <v>163350</v>
      </c>
      <c r="G15" s="15">
        <v>167300</v>
      </c>
      <c r="H15" s="16">
        <f>F15-E15</f>
        <v>-16650</v>
      </c>
      <c r="I15" s="17">
        <f>H15/E15</f>
        <v>-0.0925</v>
      </c>
    </row>
    <row r="16" spans="1:9" ht="12.75">
      <c r="A16" s="18" t="s">
        <v>21</v>
      </c>
      <c r="C16" s="22">
        <f>SUM(C8:C15)</f>
        <v>5328529.8</v>
      </c>
      <c r="D16" s="22">
        <f>SUM(D8:D15)</f>
        <v>0</v>
      </c>
      <c r="E16" s="23">
        <f>SUM(E8:E15)</f>
        <v>4525000</v>
      </c>
      <c r="F16" s="23">
        <f>SUM(F8:F15)</f>
        <v>4489807.44</v>
      </c>
      <c r="G16" s="23">
        <f>SUM(G8:G15)</f>
        <v>4329150.029999999</v>
      </c>
      <c r="H16" s="24">
        <f>SUM(H8:H15)</f>
        <v>-35192.56000000004</v>
      </c>
      <c r="I16" s="17">
        <f>H16/E16</f>
        <v>-0.00777736132596686</v>
      </c>
    </row>
    <row r="17" spans="1:9" ht="12.75">
      <c r="A17" s="13" t="s">
        <v>22</v>
      </c>
      <c r="B17" s="25"/>
      <c r="C17" s="22">
        <f>C16+C6</f>
        <v>6626685.9</v>
      </c>
      <c r="D17" s="22">
        <f>D16+D6</f>
        <v>0</v>
      </c>
      <c r="E17" s="23">
        <f>E16+E6</f>
        <v>6471129.4</v>
      </c>
      <c r="F17" s="23">
        <f>F16+F6</f>
        <v>8898643.4</v>
      </c>
      <c r="G17" s="23">
        <f>G16+G6</f>
        <v>6294209.119999999</v>
      </c>
      <c r="H17" s="24">
        <f>F17-E17</f>
        <v>2427514</v>
      </c>
      <c r="I17" s="17">
        <f>H17/E17</f>
        <v>0.3751298807283934</v>
      </c>
    </row>
    <row r="18" spans="3:9" ht="12.75">
      <c r="C18" s="14"/>
      <c r="D18" s="14"/>
      <c r="E18" s="15"/>
      <c r="F18" s="15"/>
      <c r="G18" s="15"/>
      <c r="H18" s="14"/>
      <c r="I18" s="17"/>
    </row>
    <row r="19" spans="1:9" ht="12.75">
      <c r="A19" s="8" t="s">
        <v>23</v>
      </c>
      <c r="B19" s="8"/>
      <c r="C19" s="26" t="s">
        <v>1</v>
      </c>
      <c r="D19" s="26" t="s">
        <v>2</v>
      </c>
      <c r="E19" s="4" t="s">
        <v>3</v>
      </c>
      <c r="F19" s="27" t="s">
        <v>4</v>
      </c>
      <c r="G19" s="27" t="s">
        <v>5</v>
      </c>
      <c r="H19" s="6" t="s">
        <v>24</v>
      </c>
      <c r="I19" s="17" t="e">
        <f>H19/E19</f>
        <v>#VALUE!</v>
      </c>
    </row>
    <row r="20" spans="1:9" ht="12.75">
      <c r="A20" s="1">
        <f>Budsjett_enkel!A20</f>
        <v>4010</v>
      </c>
      <c r="B20" s="1" t="s">
        <v>25</v>
      </c>
      <c r="C20" s="14">
        <f>Budsjett_enkel!C20</f>
        <v>450000</v>
      </c>
      <c r="D20" s="14">
        <v>0</v>
      </c>
      <c r="E20" s="15">
        <v>358000</v>
      </c>
      <c r="F20" s="15">
        <v>443903.99</v>
      </c>
      <c r="G20" s="15">
        <v>354634.4</v>
      </c>
      <c r="H20" s="16">
        <f>E20-F20</f>
        <v>-85903.98999999999</v>
      </c>
      <c r="I20" s="17">
        <f>H20/E20</f>
        <v>-0.23995527932960892</v>
      </c>
    </row>
    <row r="21" spans="1:9" ht="12.75">
      <c r="A21" s="1">
        <f>Budsjett_enkel!A21</f>
        <v>4610</v>
      </c>
      <c r="B21" s="1" t="s">
        <v>26</v>
      </c>
      <c r="C21" s="14">
        <f>Budsjett_enkel!C21</f>
        <v>925400</v>
      </c>
      <c r="D21" s="14">
        <v>0</v>
      </c>
      <c r="E21" s="15">
        <v>710400</v>
      </c>
      <c r="F21" s="15">
        <v>714000</v>
      </c>
      <c r="G21" s="15">
        <v>835000</v>
      </c>
      <c r="H21" s="16">
        <f>E21-F21</f>
        <v>-3600</v>
      </c>
      <c r="I21" s="17">
        <f>H21/E21</f>
        <v>-0.005067567567567568</v>
      </c>
    </row>
    <row r="22" spans="1:9" ht="12.75">
      <c r="A22" s="1">
        <f>Budsjett_enkel!A22</f>
        <v>4615</v>
      </c>
      <c r="B22" s="1" t="s">
        <v>27</v>
      </c>
      <c r="C22" s="14">
        <f>Budsjett_enkel!C22</f>
        <v>0</v>
      </c>
      <c r="D22" s="14">
        <v>0</v>
      </c>
      <c r="E22" s="15">
        <v>0</v>
      </c>
      <c r="F22" s="15">
        <v>156869.39</v>
      </c>
      <c r="G22" s="15">
        <v>26493.19</v>
      </c>
      <c r="H22" s="16">
        <f>E22-F22</f>
        <v>-156869.39</v>
      </c>
      <c r="I22" s="17">
        <f>H22/E22</f>
        <v>0</v>
      </c>
    </row>
    <row r="23" spans="1:9" ht="12.75">
      <c r="A23" s="1">
        <f>Budsjett_enkel!A23</f>
        <v>4922</v>
      </c>
      <c r="B23" s="1" t="s">
        <v>17</v>
      </c>
      <c r="C23" s="14">
        <f>Budsjett_enkel!C23</f>
        <v>555899.6330028002</v>
      </c>
      <c r="D23" s="14">
        <v>0</v>
      </c>
      <c r="E23" s="15">
        <v>473776.55</v>
      </c>
      <c r="F23" s="15">
        <v>613765.56</v>
      </c>
      <c r="G23" s="15">
        <v>309375.6</v>
      </c>
      <c r="H23" s="16">
        <f>E23-F23</f>
        <v>-139989.01000000007</v>
      </c>
      <c r="I23" s="17">
        <f>H23/E23</f>
        <v>-0.295474754924025</v>
      </c>
    </row>
    <row r="24" spans="1:9" ht="12.75">
      <c r="A24" s="1">
        <f>Budsjett_enkel!A24</f>
        <v>4927</v>
      </c>
      <c r="B24" s="1" t="s">
        <v>18</v>
      </c>
      <c r="C24" s="14">
        <f>Budsjett_enkel!C24</f>
        <v>475000.00000000006</v>
      </c>
      <c r="D24" s="14">
        <v>0</v>
      </c>
      <c r="E24" s="15">
        <v>427500</v>
      </c>
      <c r="F24" s="15">
        <v>458374</v>
      </c>
      <c r="G24" s="15">
        <v>386194</v>
      </c>
      <c r="H24" s="16">
        <f>E24-F24</f>
        <v>-30874</v>
      </c>
      <c r="I24" s="17">
        <f>H24/E24</f>
        <v>-0.07221988304093567</v>
      </c>
    </row>
    <row r="25" spans="1:9" ht="12.75">
      <c r="A25" s="1">
        <f>Budsjett_enkel!A25</f>
        <v>4928</v>
      </c>
      <c r="B25" s="1" t="s">
        <v>28</v>
      </c>
      <c r="C25" s="14">
        <f>Budsjett_enkel!C25</f>
        <v>325000</v>
      </c>
      <c r="D25" s="14">
        <v>0</v>
      </c>
      <c r="E25" s="15">
        <v>325000</v>
      </c>
      <c r="F25" s="15">
        <v>294132</v>
      </c>
      <c r="G25" s="15">
        <v>293355</v>
      </c>
      <c r="H25" s="16">
        <f>E25-F25</f>
        <v>30868</v>
      </c>
      <c r="I25" s="17">
        <f>H25/E25</f>
        <v>0.09497846153846154</v>
      </c>
    </row>
    <row r="26" spans="1:9" ht="12.75">
      <c r="A26" s="1">
        <f>Budsjett_enkel!A26</f>
        <v>4929</v>
      </c>
      <c r="B26" s="1" t="s">
        <v>29</v>
      </c>
      <c r="C26" s="14">
        <f>Budsjett_enkel!C26</f>
        <v>160000</v>
      </c>
      <c r="D26" s="14">
        <v>0</v>
      </c>
      <c r="E26" s="15">
        <v>180000</v>
      </c>
      <c r="F26" s="15">
        <v>162000</v>
      </c>
      <c r="G26" s="15">
        <v>166350</v>
      </c>
      <c r="H26" s="16">
        <f>E26-F26</f>
        <v>18000</v>
      </c>
      <c r="I26" s="17">
        <f>H26/E26</f>
        <v>0.1</v>
      </c>
    </row>
    <row r="27" spans="1:9" ht="12.75">
      <c r="A27" s="1">
        <f>Budsjett_enkel!A27</f>
        <v>4930</v>
      </c>
      <c r="B27" s="1" t="s">
        <v>30</v>
      </c>
      <c r="C27" s="14">
        <f>Budsjett_enkel!C27</f>
        <v>140000</v>
      </c>
      <c r="D27" s="14">
        <v>0</v>
      </c>
      <c r="E27" s="15">
        <v>150000</v>
      </c>
      <c r="F27" s="28">
        <v>103222.55</v>
      </c>
      <c r="G27" s="15">
        <v>13240</v>
      </c>
      <c r="H27" s="16">
        <f>E27-F27</f>
        <v>46777.45</v>
      </c>
      <c r="I27" s="17">
        <f>H27/E27</f>
        <v>0.31184966666666664</v>
      </c>
    </row>
    <row r="28" spans="1:9" ht="12.75">
      <c r="A28" s="18" t="s">
        <v>31</v>
      </c>
      <c r="C28" s="19">
        <f>SUM(C20:C27)</f>
        <v>3031299.6330028</v>
      </c>
      <c r="D28" s="19">
        <f>SUM(D20:D27)</f>
        <v>0</v>
      </c>
      <c r="E28" s="20">
        <f>SUM(E20:E27)</f>
        <v>2624676.55</v>
      </c>
      <c r="F28" s="20">
        <f>SUM(F20:F27)</f>
        <v>2946267.49</v>
      </c>
      <c r="G28" s="20">
        <f>SUM(G20:G27)</f>
        <v>2384642.19</v>
      </c>
      <c r="H28" s="21">
        <f>SUM(H20:H27)</f>
        <v>-321590.94000000006</v>
      </c>
      <c r="I28" s="17">
        <f>H28/E28</f>
        <v>-0.12252593181434111</v>
      </c>
    </row>
    <row r="29" spans="1:9" ht="12.75">
      <c r="A29" s="18"/>
      <c r="C29" s="29"/>
      <c r="D29" s="29"/>
      <c r="E29" s="30"/>
      <c r="F29" s="30"/>
      <c r="G29" s="30"/>
      <c r="H29" s="31"/>
      <c r="I29" s="17"/>
    </row>
    <row r="30" spans="1:9" ht="12.75">
      <c r="A30" s="1">
        <f>Budsjett_enkel!A29</f>
        <v>5000</v>
      </c>
      <c r="B30" s="1" t="s">
        <v>32</v>
      </c>
      <c r="C30" s="14">
        <f>Budsjett_enkel!C29</f>
        <v>0</v>
      </c>
      <c r="D30" s="14">
        <v>0</v>
      </c>
      <c r="E30" s="15">
        <v>0</v>
      </c>
      <c r="F30" s="15">
        <v>0</v>
      </c>
      <c r="G30" s="15">
        <v>0</v>
      </c>
      <c r="H30" s="16">
        <f>E30-F30</f>
        <v>0</v>
      </c>
      <c r="I30" s="17">
        <f>H30/E30</f>
        <v>0</v>
      </c>
    </row>
    <row r="31" spans="1:9" ht="12.75">
      <c r="A31" s="1">
        <f>Budsjett_enkel!A30</f>
        <v>5001</v>
      </c>
      <c r="B31" s="1" t="s">
        <v>33</v>
      </c>
      <c r="C31" s="14">
        <f>Budsjett_enkel!C30</f>
        <v>0</v>
      </c>
      <c r="D31" s="14">
        <v>0</v>
      </c>
      <c r="E31" s="15">
        <v>0</v>
      </c>
      <c r="F31" s="15">
        <v>0</v>
      </c>
      <c r="G31" s="15">
        <v>0</v>
      </c>
      <c r="H31" s="16">
        <f>E31-F31</f>
        <v>0</v>
      </c>
      <c r="I31" s="17">
        <f>H31/E31</f>
        <v>0</v>
      </c>
    </row>
    <row r="32" spans="1:9" ht="12.75">
      <c r="A32" s="1">
        <f>Budsjett_enkel!A31</f>
        <v>5002</v>
      </c>
      <c r="B32" s="1" t="s">
        <v>34</v>
      </c>
      <c r="C32" s="14">
        <f>Budsjett_enkel!C31</f>
        <v>280000</v>
      </c>
      <c r="D32" s="14">
        <v>0</v>
      </c>
      <c r="E32" s="15">
        <v>280000</v>
      </c>
      <c r="F32" s="15">
        <v>363343.63</v>
      </c>
      <c r="G32" s="15">
        <v>349781.43</v>
      </c>
      <c r="H32" s="16">
        <f>E32-F32</f>
        <v>-83343.63</v>
      </c>
      <c r="I32" s="17">
        <f>H32/E32</f>
        <v>-0.29765582142857144</v>
      </c>
    </row>
    <row r="33" spans="1:9" ht="12.75">
      <c r="A33" s="1">
        <f>Budsjett_enkel!A32</f>
        <v>5010</v>
      </c>
      <c r="B33" s="1" t="s">
        <v>35</v>
      </c>
      <c r="C33" s="14">
        <f>Budsjett_enkel!C32</f>
        <v>595000</v>
      </c>
      <c r="D33" s="14">
        <v>0</v>
      </c>
      <c r="E33" s="15">
        <v>556050</v>
      </c>
      <c r="F33" s="15">
        <v>580712.5</v>
      </c>
      <c r="G33" s="15">
        <v>611199.1</v>
      </c>
      <c r="H33" s="16">
        <f>E33-F33</f>
        <v>-24662.5</v>
      </c>
      <c r="I33" s="17">
        <f>H33/E33</f>
        <v>-0.044353025807031744</v>
      </c>
    </row>
    <row r="34" spans="1:9" ht="12.75">
      <c r="A34" s="1">
        <f>Budsjett_enkel!A33</f>
        <v>5190</v>
      </c>
      <c r="B34" s="1" t="s">
        <v>36</v>
      </c>
      <c r="C34" s="14">
        <f>Budsjett_enkel!C33</f>
        <v>60690</v>
      </c>
      <c r="D34" s="14">
        <v>0</v>
      </c>
      <c r="E34" s="15">
        <v>56717.1</v>
      </c>
      <c r="F34" s="15">
        <v>70093.5</v>
      </c>
      <c r="G34" s="15">
        <v>68034.25</v>
      </c>
      <c r="H34" s="16">
        <f>E34-F34</f>
        <v>-13376.400000000001</v>
      </c>
      <c r="I34" s="17">
        <f>H34/E34</f>
        <v>-0.2358442162945567</v>
      </c>
    </row>
    <row r="35" spans="1:9" ht="12.75">
      <c r="A35" s="1">
        <f>Budsjett_enkel!A34</f>
        <v>5240</v>
      </c>
      <c r="B35" s="1" t="s">
        <v>37</v>
      </c>
      <c r="C35" s="14">
        <f>Budsjett_enkel!C34</f>
        <v>0</v>
      </c>
      <c r="D35" s="14">
        <v>0</v>
      </c>
      <c r="E35" s="15">
        <v>0</v>
      </c>
      <c r="F35" s="15">
        <v>0</v>
      </c>
      <c r="G35" s="15">
        <v>0</v>
      </c>
      <c r="H35" s="16">
        <f>E35-F35</f>
        <v>0</v>
      </c>
      <c r="I35" s="17">
        <f>H35/E35</f>
        <v>0</v>
      </c>
    </row>
    <row r="36" spans="1:9" ht="12.75">
      <c r="A36" s="1">
        <f>Budsjett_enkel!A35</f>
        <v>5280</v>
      </c>
      <c r="B36" s="1" t="s">
        <v>38</v>
      </c>
      <c r="C36" s="14">
        <f>Budsjett_enkel!C35</f>
        <v>0</v>
      </c>
      <c r="D36" s="14">
        <v>0</v>
      </c>
      <c r="E36" s="15">
        <v>0</v>
      </c>
      <c r="F36" s="15">
        <v>0</v>
      </c>
      <c r="G36" s="15">
        <v>0</v>
      </c>
      <c r="H36" s="16">
        <f>E36-F36</f>
        <v>0</v>
      </c>
      <c r="I36" s="17">
        <f>H36/E36</f>
        <v>0</v>
      </c>
    </row>
    <row r="37" spans="1:9" ht="12.75">
      <c r="A37" s="1">
        <f>Budsjett_enkel!A36</f>
        <v>5410</v>
      </c>
      <c r="B37" s="1" t="s">
        <v>39</v>
      </c>
      <c r="C37" s="14">
        <f>Budsjett_enkel!C36</f>
        <v>85572.90000000001</v>
      </c>
      <c r="D37" s="14">
        <v>0</v>
      </c>
      <c r="E37" s="15">
        <v>81714.08</v>
      </c>
      <c r="F37" s="15">
        <v>85229.53</v>
      </c>
      <c r="G37" s="15">
        <v>88427.11</v>
      </c>
      <c r="H37" s="16">
        <f>E37-F37</f>
        <v>-3515.449999999997</v>
      </c>
      <c r="I37" s="17">
        <f>H37/E37</f>
        <v>-0.04302134956423663</v>
      </c>
    </row>
    <row r="38" spans="1:9" ht="12.75">
      <c r="A38" s="1">
        <f>Budsjett_enkel!A37</f>
        <v>5411</v>
      </c>
      <c r="B38" s="1" t="s">
        <v>40</v>
      </c>
      <c r="C38" s="14">
        <f>Budsjett_enkel!C37</f>
        <v>8557.29</v>
      </c>
      <c r="D38" s="14">
        <v>0</v>
      </c>
      <c r="E38" s="15">
        <v>0</v>
      </c>
      <c r="F38" s="15">
        <v>9883.18</v>
      </c>
      <c r="G38" s="15">
        <v>9592.83</v>
      </c>
      <c r="H38" s="16">
        <f>E38-F38</f>
        <v>-9883.18</v>
      </c>
      <c r="I38" s="17">
        <f>H38/E38</f>
        <v>0</v>
      </c>
    </row>
    <row r="39" spans="1:9" ht="12.75">
      <c r="A39" s="1">
        <f>Budsjett_enkel!A38</f>
        <v>5950</v>
      </c>
      <c r="B39" s="1" t="s">
        <v>41</v>
      </c>
      <c r="C39" s="14">
        <f>Budsjett_enkel!C38</f>
        <v>2000</v>
      </c>
      <c r="D39" s="14">
        <v>0</v>
      </c>
      <c r="E39" s="15">
        <v>2000</v>
      </c>
      <c r="F39" s="15">
        <v>0</v>
      </c>
      <c r="G39" s="15">
        <v>1091</v>
      </c>
      <c r="H39" s="16">
        <f>E39-F39</f>
        <v>2000</v>
      </c>
      <c r="I39" s="17">
        <f>H39/E39</f>
        <v>1</v>
      </c>
    </row>
    <row r="40" spans="1:9" ht="12.75">
      <c r="A40" s="1">
        <f>Budsjett_enkel!A39</f>
        <v>5955</v>
      </c>
      <c r="B40" s="1" t="s">
        <v>42</v>
      </c>
      <c r="C40" s="14">
        <f>Budsjett_enkel!C39</f>
        <v>11900</v>
      </c>
      <c r="D40" s="14">
        <v>0</v>
      </c>
      <c r="E40" s="15">
        <v>23482</v>
      </c>
      <c r="F40" s="15">
        <v>23751.96</v>
      </c>
      <c r="G40" s="15">
        <v>17267.85</v>
      </c>
      <c r="H40" s="16">
        <f>E40-F40</f>
        <v>-269.9599999999991</v>
      </c>
      <c r="I40" s="17">
        <f>H40/E40</f>
        <v>-0.011496465377736102</v>
      </c>
    </row>
    <row r="41" spans="1:9" ht="12.75">
      <c r="A41" s="1">
        <f>Budsjett_enkel!A40</f>
        <v>5999</v>
      </c>
      <c r="B41" s="1" t="s">
        <v>43</v>
      </c>
      <c r="C41" s="14">
        <f>Budsjett_enkel!C40</f>
        <v>0</v>
      </c>
      <c r="D41" s="14">
        <v>0</v>
      </c>
      <c r="E41" s="15">
        <v>0</v>
      </c>
      <c r="F41" s="15">
        <v>0</v>
      </c>
      <c r="G41" s="15"/>
      <c r="H41" s="16">
        <f>E41-F41</f>
        <v>0</v>
      </c>
      <c r="I41" s="17">
        <f>H41/E41</f>
        <v>0</v>
      </c>
    </row>
    <row r="42" spans="1:9" ht="12.75">
      <c r="A42" s="18" t="s">
        <v>44</v>
      </c>
      <c r="C42" s="19">
        <f>SUM(C30:C41)</f>
        <v>1043720.1900000001</v>
      </c>
      <c r="D42" s="19">
        <f>SUM(D30:D41)</f>
        <v>0</v>
      </c>
      <c r="E42" s="20">
        <f>SUM(E30:E41)</f>
        <v>999963.1799999999</v>
      </c>
      <c r="F42" s="20">
        <f>SUM(F30:F41)</f>
        <v>1133014.3</v>
      </c>
      <c r="G42" s="20">
        <f>SUM(G30:G41)</f>
        <v>1145393.5699999998</v>
      </c>
      <c r="H42" s="21">
        <f>SUM(H30:H41)</f>
        <v>-133051.12</v>
      </c>
      <c r="I42" s="17">
        <f>H42/E42</f>
        <v>-0.1330560191226241</v>
      </c>
    </row>
    <row r="43" spans="3:9" ht="12.75">
      <c r="C43" s="14"/>
      <c r="D43" s="14"/>
      <c r="E43" s="32"/>
      <c r="F43" s="32"/>
      <c r="G43" s="32"/>
      <c r="H43" s="16"/>
      <c r="I43" s="17"/>
    </row>
    <row r="44" spans="1:9" ht="12.75">
      <c r="A44" s="1">
        <v>6300</v>
      </c>
      <c r="B44" s="1" t="s">
        <v>45</v>
      </c>
      <c r="C44" s="14">
        <f>Budsjett_enkel!C42</f>
        <v>129400</v>
      </c>
      <c r="D44" s="14">
        <v>0</v>
      </c>
      <c r="E44" s="15">
        <v>122400</v>
      </c>
      <c r="F44" s="15">
        <v>125336</v>
      </c>
      <c r="G44" s="32">
        <v>122880</v>
      </c>
      <c r="H44" s="16">
        <f>E44-F44</f>
        <v>-2936</v>
      </c>
      <c r="I44" s="17">
        <f>H44/E44</f>
        <v>-0.023986928104575162</v>
      </c>
    </row>
    <row r="45" spans="1:9" ht="12.75">
      <c r="A45" s="1">
        <v>6301</v>
      </c>
      <c r="B45" s="1" t="s">
        <v>46</v>
      </c>
      <c r="C45" s="14">
        <f>Budsjett_enkel!C43</f>
        <v>14000</v>
      </c>
      <c r="D45" s="14">
        <v>0</v>
      </c>
      <c r="E45" s="15">
        <v>134000</v>
      </c>
      <c r="F45" s="15">
        <v>149120</v>
      </c>
      <c r="G45" s="32">
        <v>149730</v>
      </c>
      <c r="H45" s="16">
        <f>E45-F45</f>
        <v>-15120</v>
      </c>
      <c r="I45" s="17">
        <f>H45/E45</f>
        <v>-0.11283582089552238</v>
      </c>
    </row>
    <row r="46" spans="1:9" ht="12.75">
      <c r="A46" s="1">
        <v>6340</v>
      </c>
      <c r="B46" s="1" t="s">
        <v>47</v>
      </c>
      <c r="C46" s="14">
        <f>Budsjett_enkel!C44</f>
        <v>0</v>
      </c>
      <c r="D46" s="14">
        <v>0</v>
      </c>
      <c r="E46" s="32">
        <v>0</v>
      </c>
      <c r="F46" s="32">
        <v>0</v>
      </c>
      <c r="G46" s="32">
        <v>0</v>
      </c>
      <c r="H46" s="16">
        <f>E46-F46</f>
        <v>0</v>
      </c>
      <c r="I46" s="17">
        <f>H46/E46</f>
        <v>0</v>
      </c>
    </row>
    <row r="47" spans="1:9" ht="12.75">
      <c r="A47" s="1">
        <v>6430</v>
      </c>
      <c r="B47" s="1" t="s">
        <v>48</v>
      </c>
      <c r="C47" s="14">
        <f>Budsjett_enkel!C45</f>
        <v>0</v>
      </c>
      <c r="D47" s="14">
        <v>0</v>
      </c>
      <c r="E47" s="15">
        <v>30000</v>
      </c>
      <c r="F47" s="15">
        <v>24346.5</v>
      </c>
      <c r="G47" s="32">
        <v>29413</v>
      </c>
      <c r="H47" s="16">
        <f>E47-F47</f>
        <v>5653.5</v>
      </c>
      <c r="I47" s="17">
        <f>H47/E47</f>
        <v>0.18845</v>
      </c>
    </row>
    <row r="48" spans="1:9" ht="12.75">
      <c r="A48" s="1">
        <v>6550</v>
      </c>
      <c r="B48" s="1" t="s">
        <v>49</v>
      </c>
      <c r="C48" s="14">
        <f>Budsjett_enkel!C46</f>
        <v>5000</v>
      </c>
      <c r="D48" s="14">
        <v>0</v>
      </c>
      <c r="E48" s="15">
        <v>5000</v>
      </c>
      <c r="F48" s="15">
        <v>3779</v>
      </c>
      <c r="G48" s="32">
        <v>1410.57</v>
      </c>
      <c r="H48" s="16">
        <f>E48-F48</f>
        <v>1221</v>
      </c>
      <c r="I48" s="17">
        <f>H48/E48</f>
        <v>0.2442</v>
      </c>
    </row>
    <row r="49" spans="1:9" ht="12.75">
      <c r="A49" s="1">
        <v>6560</v>
      </c>
      <c r="B49" s="1" t="s">
        <v>50</v>
      </c>
      <c r="C49" s="14">
        <f>Budsjett_enkel!C47</f>
        <v>0</v>
      </c>
      <c r="D49" s="14">
        <v>0</v>
      </c>
      <c r="E49" s="15">
        <v>0</v>
      </c>
      <c r="F49" s="15">
        <v>16199.18</v>
      </c>
      <c r="G49" s="32">
        <v>29384.8</v>
      </c>
      <c r="H49" s="16">
        <f>E49-F49</f>
        <v>-16199.18</v>
      </c>
      <c r="I49" s="17">
        <f>H49/E49</f>
        <v>0</v>
      </c>
    </row>
    <row r="50" spans="1:9" ht="12.75">
      <c r="A50" s="1">
        <v>6700</v>
      </c>
      <c r="B50" s="1" t="s">
        <v>51</v>
      </c>
      <c r="C50" s="14">
        <f>Budsjett_enkel!C48</f>
        <v>200000</v>
      </c>
      <c r="D50" s="14">
        <v>0</v>
      </c>
      <c r="E50" s="15">
        <v>200000</v>
      </c>
      <c r="F50" s="15">
        <v>211128.07</v>
      </c>
      <c r="G50" s="32">
        <v>233749</v>
      </c>
      <c r="H50" s="16">
        <f>E50-F50</f>
        <v>-11128.070000000007</v>
      </c>
      <c r="I50" s="17">
        <f>H50/E50</f>
        <v>-0.05564035000000003</v>
      </c>
    </row>
    <row r="51" spans="1:9" ht="12.75">
      <c r="A51" s="1">
        <v>6720</v>
      </c>
      <c r="B51" s="1" t="s">
        <v>52</v>
      </c>
      <c r="C51" s="14">
        <f>Budsjett_enkel!C49</f>
        <v>0</v>
      </c>
      <c r="D51" s="14">
        <v>0</v>
      </c>
      <c r="E51" s="32">
        <v>0</v>
      </c>
      <c r="F51" s="32">
        <v>31359</v>
      </c>
      <c r="G51" s="32">
        <v>0</v>
      </c>
      <c r="H51" s="16">
        <f>E51-F51</f>
        <v>-31359</v>
      </c>
      <c r="I51" s="17">
        <f>H51/E51</f>
        <v>0</v>
      </c>
    </row>
    <row r="52" spans="1:9" ht="12.75">
      <c r="A52" s="1">
        <v>6800</v>
      </c>
      <c r="B52" s="1" t="s">
        <v>53</v>
      </c>
      <c r="C52" s="14">
        <f>Budsjett_enkel!C50</f>
        <v>15000</v>
      </c>
      <c r="D52" s="14">
        <v>0</v>
      </c>
      <c r="E52" s="15">
        <v>15000</v>
      </c>
      <c r="F52" s="15">
        <v>28442.69</v>
      </c>
      <c r="G52" s="32">
        <v>15285.79</v>
      </c>
      <c r="H52" s="16">
        <f>E52-F52</f>
        <v>-13442.689999999999</v>
      </c>
      <c r="I52" s="17">
        <f>H52/E52</f>
        <v>-0.8961793333333332</v>
      </c>
    </row>
    <row r="53" spans="1:9" ht="12.75">
      <c r="A53" s="1">
        <v>6810</v>
      </c>
      <c r="B53" s="1" t="s">
        <v>54</v>
      </c>
      <c r="C53" s="14">
        <f>Budsjett_enkel!C51</f>
        <v>100000</v>
      </c>
      <c r="D53" s="14">
        <v>0</v>
      </c>
      <c r="E53" s="15">
        <v>80000</v>
      </c>
      <c r="F53" s="15">
        <v>176148.42</v>
      </c>
      <c r="G53" s="32">
        <v>102702.19</v>
      </c>
      <c r="H53" s="16">
        <f>E53-F53</f>
        <v>-96148.42000000001</v>
      </c>
      <c r="I53" s="17">
        <f>H53/E53</f>
        <v>-1.2018552500000002</v>
      </c>
    </row>
    <row r="54" spans="1:9" ht="12.75">
      <c r="A54" s="1">
        <v>6820</v>
      </c>
      <c r="B54" s="1" t="s">
        <v>55</v>
      </c>
      <c r="C54" s="14">
        <f>Budsjett_enkel!C52</f>
        <v>140000</v>
      </c>
      <c r="D54" s="14">
        <v>0</v>
      </c>
      <c r="E54" s="15">
        <v>120000</v>
      </c>
      <c r="F54" s="15">
        <v>289066</v>
      </c>
      <c r="G54" s="32">
        <v>116372</v>
      </c>
      <c r="H54" s="16">
        <f>E54-F54</f>
        <v>-169066</v>
      </c>
      <c r="I54" s="17">
        <f>H54/E54</f>
        <v>-1.4088833333333333</v>
      </c>
    </row>
    <row r="55" spans="1:9" ht="12.75">
      <c r="A55" s="1">
        <v>6840</v>
      </c>
      <c r="B55" s="1" t="s">
        <v>56</v>
      </c>
      <c r="C55" s="14">
        <f>Budsjett_enkel!C53</f>
        <v>0</v>
      </c>
      <c r="D55" s="14">
        <v>0</v>
      </c>
      <c r="E55" s="32">
        <v>0</v>
      </c>
      <c r="F55" s="32">
        <v>0</v>
      </c>
      <c r="G55" s="32">
        <v>0</v>
      </c>
      <c r="H55" s="16">
        <f>E55-F55</f>
        <v>0</v>
      </c>
      <c r="I55" s="17">
        <f>H55/E55</f>
        <v>0</v>
      </c>
    </row>
    <row r="56" spans="1:9" ht="12.75">
      <c r="A56" s="1">
        <v>6860</v>
      </c>
      <c r="B56" s="1" t="s">
        <v>57</v>
      </c>
      <c r="C56" s="14">
        <f>Budsjett_enkel!C54</f>
        <v>0</v>
      </c>
      <c r="D56" s="14">
        <v>0</v>
      </c>
      <c r="E56" s="15">
        <v>0</v>
      </c>
      <c r="F56" s="15">
        <v>33837.5</v>
      </c>
      <c r="G56" s="32">
        <v>46172.72</v>
      </c>
      <c r="H56" s="16">
        <f>E56-F56</f>
        <v>-33837.5</v>
      </c>
      <c r="I56" s="17">
        <f>H56/E56</f>
        <v>0</v>
      </c>
    </row>
    <row r="57" spans="1:9" ht="12.75">
      <c r="A57" s="1">
        <v>6868</v>
      </c>
      <c r="B57" s="1" t="s">
        <v>58</v>
      </c>
      <c r="C57" s="14">
        <f>Budsjett_enkel!C55</f>
        <v>301580</v>
      </c>
      <c r="D57" s="14">
        <v>0</v>
      </c>
      <c r="E57" s="15">
        <v>185732.5</v>
      </c>
      <c r="F57" s="15">
        <v>268093.6</v>
      </c>
      <c r="G57" s="33">
        <v>169858.84</v>
      </c>
      <c r="H57" s="16">
        <f>E57-F57</f>
        <v>-82361.09999999998</v>
      </c>
      <c r="I57" s="17">
        <f>H57/E57</f>
        <v>-0.44343935498633774</v>
      </c>
    </row>
    <row r="58" spans="1:9" ht="12.75">
      <c r="A58" s="1">
        <v>6900</v>
      </c>
      <c r="B58" s="1" t="s">
        <v>59</v>
      </c>
      <c r="C58" s="14">
        <f>Budsjett_enkel!C56</f>
        <v>3500</v>
      </c>
      <c r="D58" s="14">
        <v>0</v>
      </c>
      <c r="E58" s="15">
        <v>10000</v>
      </c>
      <c r="F58" s="15">
        <v>3688.05</v>
      </c>
      <c r="G58" s="32">
        <v>8454.64</v>
      </c>
      <c r="H58" s="16">
        <f>E58-F58</f>
        <v>6311.95</v>
      </c>
      <c r="I58" s="17">
        <f>H58/E58</f>
        <v>0.631195</v>
      </c>
    </row>
    <row r="59" spans="1:9" ht="12.75">
      <c r="A59" s="1">
        <v>6940</v>
      </c>
      <c r="B59" s="1" t="s">
        <v>60</v>
      </c>
      <c r="C59" s="14">
        <f>Budsjett_enkel!C57</f>
        <v>90000</v>
      </c>
      <c r="D59" s="14">
        <v>0</v>
      </c>
      <c r="E59" s="15">
        <v>90000</v>
      </c>
      <c r="F59" s="15">
        <v>86395.1</v>
      </c>
      <c r="G59" s="32">
        <v>85446.41</v>
      </c>
      <c r="H59" s="16">
        <f>E59-F59</f>
        <v>3604.899999999994</v>
      </c>
      <c r="I59" s="17">
        <f>H59/E59</f>
        <v>0.04005444444444438</v>
      </c>
    </row>
    <row r="60" spans="1:9" ht="12.75">
      <c r="A60" s="1">
        <v>6960</v>
      </c>
      <c r="B60" s="1" t="s">
        <v>61</v>
      </c>
      <c r="C60" s="14">
        <f>Budsjett_enkel!C58</f>
        <v>20000</v>
      </c>
      <c r="D60" s="14">
        <v>0</v>
      </c>
      <c r="E60" s="15">
        <v>10000</v>
      </c>
      <c r="F60" s="15">
        <v>21481.81</v>
      </c>
      <c r="G60" s="32">
        <v>9972.4</v>
      </c>
      <c r="H60" s="16">
        <f>E60-F60</f>
        <v>-11481.810000000001</v>
      </c>
      <c r="I60" s="17">
        <f>H60/E60</f>
        <v>-1.1481810000000001</v>
      </c>
    </row>
    <row r="61" spans="1:9" ht="12.75">
      <c r="A61" s="1">
        <v>7000</v>
      </c>
      <c r="B61" s="1" t="s">
        <v>62</v>
      </c>
      <c r="C61" s="14">
        <f>Budsjett_enkel!C59</f>
        <v>2000</v>
      </c>
      <c r="D61" s="14">
        <v>0</v>
      </c>
      <c r="E61" s="15">
        <v>2000</v>
      </c>
      <c r="F61" s="15">
        <v>250.22</v>
      </c>
      <c r="G61" s="32">
        <v>1517.64</v>
      </c>
      <c r="H61" s="16">
        <f>E61-F61</f>
        <v>1749.78</v>
      </c>
      <c r="I61" s="17">
        <f>H61/E61</f>
        <v>0.87489</v>
      </c>
    </row>
    <row r="62" spans="1:9" ht="12.75">
      <c r="A62" s="1">
        <v>7040</v>
      </c>
      <c r="B62" s="1" t="s">
        <v>63</v>
      </c>
      <c r="C62" s="14">
        <f>Budsjett_enkel!C60</f>
        <v>7500</v>
      </c>
      <c r="D62" s="14">
        <v>0</v>
      </c>
      <c r="E62" s="15">
        <v>7500</v>
      </c>
      <c r="F62" s="15">
        <v>16865</v>
      </c>
      <c r="G62" s="32">
        <v>7008.85</v>
      </c>
      <c r="H62" s="16">
        <f>E62-F62</f>
        <v>-9365</v>
      </c>
      <c r="I62" s="17">
        <f>H62/E62</f>
        <v>-1.2486666666666666</v>
      </c>
    </row>
    <row r="63" spans="1:9" ht="12.75">
      <c r="A63" s="1">
        <v>7105</v>
      </c>
      <c r="B63" s="1" t="s">
        <v>64</v>
      </c>
      <c r="C63" s="14">
        <f>Budsjett_enkel!C61</f>
        <v>0</v>
      </c>
      <c r="D63" s="14">
        <v>0</v>
      </c>
      <c r="E63" s="32">
        <v>0</v>
      </c>
      <c r="F63" s="32">
        <v>1.8</v>
      </c>
      <c r="G63" s="32">
        <v>0</v>
      </c>
      <c r="H63" s="16">
        <f>E63-F63</f>
        <v>-1.8</v>
      </c>
      <c r="I63" s="17">
        <f>H63/E63</f>
        <v>0</v>
      </c>
    </row>
    <row r="64" spans="1:9" ht="12.75">
      <c r="A64" s="1">
        <v>7140</v>
      </c>
      <c r="B64" s="1" t="s">
        <v>65</v>
      </c>
      <c r="C64" s="14">
        <f>Budsjett_enkel!C62</f>
        <v>518038.05</v>
      </c>
      <c r="D64" s="14">
        <v>0</v>
      </c>
      <c r="E64" s="15">
        <v>436868.7</v>
      </c>
      <c r="F64" s="15">
        <v>836597.43</v>
      </c>
      <c r="G64" s="32">
        <v>607201.94</v>
      </c>
      <c r="H64" s="16">
        <f>E64-F64</f>
        <v>-399728.73000000004</v>
      </c>
      <c r="I64" s="17">
        <f>H64/E64</f>
        <v>-0.9149859671796126</v>
      </c>
    </row>
    <row r="65" spans="1:9" ht="12.75">
      <c r="A65" s="1">
        <v>7145</v>
      </c>
      <c r="B65" s="1" t="s">
        <v>66</v>
      </c>
      <c r="C65" s="14">
        <f>Budsjett_enkel!C63</f>
        <v>324200</v>
      </c>
      <c r="D65" s="14">
        <v>0</v>
      </c>
      <c r="E65" s="15">
        <v>424200</v>
      </c>
      <c r="F65" s="15">
        <v>2317522.29</v>
      </c>
      <c r="G65" s="32">
        <v>373316.87</v>
      </c>
      <c r="H65" s="16">
        <f>E65-F65</f>
        <v>-1893322.29</v>
      </c>
      <c r="I65" s="17">
        <f>H65/E65</f>
        <v>-4.463277439886846</v>
      </c>
    </row>
    <row r="66" spans="1:9" ht="12.75">
      <c r="A66" s="1">
        <v>7360</v>
      </c>
      <c r="B66" s="1" t="s">
        <v>67</v>
      </c>
      <c r="C66" s="14">
        <f>Budsjett_enkel!C64</f>
        <v>0</v>
      </c>
      <c r="D66" s="14">
        <v>0</v>
      </c>
      <c r="E66" s="32">
        <v>0</v>
      </c>
      <c r="F66" s="32">
        <v>0</v>
      </c>
      <c r="G66" s="32">
        <v>0</v>
      </c>
      <c r="H66" s="16">
        <f>E66-F66</f>
        <v>0</v>
      </c>
      <c r="I66" s="17">
        <f>H66/E66</f>
        <v>0</v>
      </c>
    </row>
    <row r="67" spans="1:9" ht="12.75">
      <c r="A67" s="1">
        <v>7600</v>
      </c>
      <c r="B67" s="1" t="s">
        <v>68</v>
      </c>
      <c r="C67" s="14">
        <f>Budsjett_enkel!C65</f>
        <v>0</v>
      </c>
      <c r="D67" s="14">
        <v>0</v>
      </c>
      <c r="E67" s="32">
        <v>0</v>
      </c>
      <c r="F67" s="32">
        <v>0</v>
      </c>
      <c r="G67" s="32">
        <v>0</v>
      </c>
      <c r="H67" s="16">
        <f>E67-F67</f>
        <v>0</v>
      </c>
      <c r="I67" s="17">
        <f>H67/E67</f>
        <v>0</v>
      </c>
    </row>
    <row r="68" spans="1:9" ht="12.75">
      <c r="A68" s="1">
        <v>7601</v>
      </c>
      <c r="B68" s="1" t="s">
        <v>69</v>
      </c>
      <c r="C68" s="14">
        <f>Budsjett_enkel!C66</f>
        <v>16000</v>
      </c>
      <c r="D68" s="14">
        <v>0</v>
      </c>
      <c r="E68" s="15">
        <v>15000</v>
      </c>
      <c r="F68" s="15">
        <v>17360</v>
      </c>
      <c r="G68" s="32">
        <v>15275</v>
      </c>
      <c r="H68" s="16">
        <f>E68-F68</f>
        <v>-2360</v>
      </c>
      <c r="I68" s="17">
        <f>H68/E68</f>
        <v>-0.15733333333333333</v>
      </c>
    </row>
    <row r="69" spans="1:9" ht="12.75">
      <c r="A69" s="1">
        <v>7610</v>
      </c>
      <c r="B69" s="1" t="s">
        <v>70</v>
      </c>
      <c r="C69" s="14">
        <f>Budsjett_enkel!C67</f>
        <v>661000</v>
      </c>
      <c r="D69" s="14">
        <v>0</v>
      </c>
      <c r="E69" s="15">
        <v>921000</v>
      </c>
      <c r="F69" s="15">
        <v>292238.73</v>
      </c>
      <c r="G69" s="32">
        <v>307449.56</v>
      </c>
      <c r="H69" s="16">
        <f>E69-F69</f>
        <v>628761.27</v>
      </c>
      <c r="I69" s="17">
        <f>H69/E69</f>
        <v>0.6826941042345277</v>
      </c>
    </row>
    <row r="70" spans="1:9" ht="12.75">
      <c r="A70" s="1">
        <v>7612</v>
      </c>
      <c r="B70" s="1" t="s">
        <v>71</v>
      </c>
      <c r="C70" s="14">
        <f>Budsjett_enkel!C68</f>
        <v>0</v>
      </c>
      <c r="D70" s="14">
        <v>0</v>
      </c>
      <c r="E70" s="32">
        <v>0</v>
      </c>
      <c r="F70" s="32">
        <v>0</v>
      </c>
      <c r="G70" s="32">
        <v>0</v>
      </c>
      <c r="H70" s="16">
        <f>E70-F70</f>
        <v>0</v>
      </c>
      <c r="I70" s="17">
        <f>H70/E70</f>
        <v>0</v>
      </c>
    </row>
    <row r="71" spans="1:9" ht="12.75">
      <c r="A71" s="1">
        <v>7620</v>
      </c>
      <c r="B71" s="1" t="s">
        <v>72</v>
      </c>
      <c r="C71" s="14">
        <f>Budsjett_enkel!C69</f>
        <v>16000</v>
      </c>
      <c r="D71" s="14">
        <v>0</v>
      </c>
      <c r="E71" s="15">
        <v>10000</v>
      </c>
      <c r="F71" s="15">
        <v>57900.04</v>
      </c>
      <c r="G71" s="32">
        <v>20179.31</v>
      </c>
      <c r="H71" s="16">
        <f>E71-F71</f>
        <v>-47900.04</v>
      </c>
      <c r="I71" s="17">
        <f>H71/E71</f>
        <v>-4.790004</v>
      </c>
    </row>
    <row r="72" spans="1:9" ht="12.75">
      <c r="A72" s="1">
        <v>7650</v>
      </c>
      <c r="B72" s="1" t="s">
        <v>73</v>
      </c>
      <c r="C72" s="14">
        <f>Budsjett_enkel!C70</f>
        <v>0</v>
      </c>
      <c r="D72" s="14">
        <v>0</v>
      </c>
      <c r="E72" s="32">
        <v>0</v>
      </c>
      <c r="F72" s="32">
        <v>0</v>
      </c>
      <c r="G72" s="32">
        <v>0</v>
      </c>
      <c r="H72" s="16">
        <f>E72-F72</f>
        <v>0</v>
      </c>
      <c r="I72" s="17">
        <f>H72/E72</f>
        <v>0</v>
      </c>
    </row>
    <row r="73" spans="1:9" ht="12.75">
      <c r="A73" s="1">
        <v>7770</v>
      </c>
      <c r="B73" s="1" t="s">
        <v>74</v>
      </c>
      <c r="C73" s="14">
        <f>Budsjett_enkel!C71</f>
        <v>15000</v>
      </c>
      <c r="D73" s="14">
        <v>0</v>
      </c>
      <c r="E73" s="15">
        <v>10000</v>
      </c>
      <c r="F73" s="15">
        <v>15911.38</v>
      </c>
      <c r="G73" s="32">
        <v>15711.14</v>
      </c>
      <c r="H73" s="16">
        <f>E73-F73</f>
        <v>-5911.379999999999</v>
      </c>
      <c r="I73" s="17">
        <f>H73/E73</f>
        <v>-0.5911379999999999</v>
      </c>
    </row>
    <row r="74" spans="1:9" ht="12.75">
      <c r="A74" s="1">
        <v>7801</v>
      </c>
      <c r="B74" s="1" t="s">
        <v>75</v>
      </c>
      <c r="C74" s="14">
        <f>Budsjett_enkel!C72</f>
        <v>0</v>
      </c>
      <c r="D74" s="14">
        <v>0</v>
      </c>
      <c r="E74" s="15">
        <v>0</v>
      </c>
      <c r="F74" s="15">
        <v>0</v>
      </c>
      <c r="G74" s="32">
        <v>71.36</v>
      </c>
      <c r="H74" s="16">
        <f>E74-F74</f>
        <v>0</v>
      </c>
      <c r="I74" s="17">
        <f>H74/E74</f>
        <v>0</v>
      </c>
    </row>
    <row r="75" spans="1:9" ht="12.75">
      <c r="A75" s="1">
        <v>7830</v>
      </c>
      <c r="B75" s="1" t="s">
        <v>76</v>
      </c>
      <c r="C75" s="14">
        <f>Budsjett_enkel!C73</f>
        <v>0</v>
      </c>
      <c r="D75" s="14">
        <v>0</v>
      </c>
      <c r="E75" s="15">
        <v>0</v>
      </c>
      <c r="F75" s="15">
        <v>17088</v>
      </c>
      <c r="G75" s="32">
        <v>155922.86</v>
      </c>
      <c r="H75" s="16">
        <f>E75-F75</f>
        <v>-17088</v>
      </c>
      <c r="I75" s="17">
        <f>H75/E75</f>
        <v>0</v>
      </c>
    </row>
    <row r="76" spans="1:9" ht="12.75">
      <c r="A76" s="18" t="s">
        <v>77</v>
      </c>
      <c r="C76" s="22">
        <f>SUM(C44:C75)</f>
        <v>2578218.05</v>
      </c>
      <c r="D76" s="22">
        <f>SUM(D44:D75)</f>
        <v>0</v>
      </c>
      <c r="E76" s="34">
        <f>SUM(E44:E75)</f>
        <v>2828701.2</v>
      </c>
      <c r="F76" s="34">
        <f>SUM(F44:F75)</f>
        <v>5040155.8100000005</v>
      </c>
      <c r="G76" s="34">
        <f>SUM(G44:G75)</f>
        <v>2624486.89</v>
      </c>
      <c r="H76" s="24">
        <f>SUM(H44:H75)</f>
        <v>-2211454.61</v>
      </c>
      <c r="I76" s="17">
        <f>H76/E76</f>
        <v>-0.7817915197264383</v>
      </c>
    </row>
    <row r="77" spans="1:9" ht="12.75">
      <c r="A77" s="18" t="s">
        <v>78</v>
      </c>
      <c r="C77" s="19">
        <f>C28+C42+C76</f>
        <v>6653237.873002799</v>
      </c>
      <c r="D77" s="19">
        <f>D28+D42+D76</f>
        <v>0</v>
      </c>
      <c r="E77" s="19">
        <f>E28+E42+E76</f>
        <v>6453340.93</v>
      </c>
      <c r="F77" s="19">
        <f>F28+F42+F76</f>
        <v>9119437.600000001</v>
      </c>
      <c r="G77" s="19">
        <f>G28+G42+G76</f>
        <v>6154522.65</v>
      </c>
      <c r="H77" s="16">
        <f>E77-F77</f>
        <v>-2666096.670000002</v>
      </c>
      <c r="I77" s="17">
        <f>H77/E77</f>
        <v>-0.41313432823701784</v>
      </c>
    </row>
    <row r="78" spans="1:9" ht="12.75">
      <c r="A78" s="18"/>
      <c r="C78" s="29"/>
      <c r="D78" s="29"/>
      <c r="E78" s="35"/>
      <c r="F78" s="35"/>
      <c r="G78" s="35"/>
      <c r="H78" s="36"/>
      <c r="I78" s="17"/>
    </row>
    <row r="79" spans="1:9" ht="12.75">
      <c r="A79" s="18" t="s">
        <v>79</v>
      </c>
      <c r="C79" s="22">
        <f>C17-C77</f>
        <v>-26551.973002798855</v>
      </c>
      <c r="D79" s="22">
        <f>D17-D77</f>
        <v>0</v>
      </c>
      <c r="E79" s="34">
        <f>E17-E77</f>
        <v>17788.47000000067</v>
      </c>
      <c r="F79" s="34">
        <f>F17-F77</f>
        <v>-220794.20000000112</v>
      </c>
      <c r="G79" s="34">
        <f>G17-G77</f>
        <v>139686.4699999988</v>
      </c>
      <c r="H79" s="24">
        <f>E79+F79</f>
        <v>-203005.73000000045</v>
      </c>
      <c r="I79" s="17">
        <f>H79/E79</f>
        <v>-11.412208582300378</v>
      </c>
    </row>
    <row r="80" spans="3:9" ht="12.75">
      <c r="C80" s="14"/>
      <c r="D80" s="14"/>
      <c r="E80" s="32"/>
      <c r="F80" s="32"/>
      <c r="G80" s="32"/>
      <c r="H80" s="16"/>
      <c r="I80" s="17" t="e">
        <f>H80/E80</f>
        <v>#DIV/0!</v>
      </c>
    </row>
    <row r="81" spans="1:9" ht="12.75">
      <c r="A81" s="1">
        <v>8040</v>
      </c>
      <c r="B81" s="1" t="s">
        <v>80</v>
      </c>
      <c r="C81" s="14">
        <f>-Budsjett_enkel!C78</f>
        <v>-35000</v>
      </c>
      <c r="D81" s="14"/>
      <c r="E81" s="15">
        <v>-50000</v>
      </c>
      <c r="F81" s="15">
        <v>-31651.85</v>
      </c>
      <c r="G81" s="32">
        <v>-41945.41</v>
      </c>
      <c r="H81" s="16">
        <f>E81-F81</f>
        <v>-18348.15</v>
      </c>
      <c r="I81" s="17">
        <f>H81/E81</f>
        <v>0.36696300000000004</v>
      </c>
    </row>
    <row r="82" spans="1:9" ht="12.75">
      <c r="A82" s="1">
        <v>8050</v>
      </c>
      <c r="B82" s="1" t="s">
        <v>81</v>
      </c>
      <c r="C82" s="14"/>
      <c r="D82" s="14"/>
      <c r="E82" s="15"/>
      <c r="F82" s="15">
        <v>-3542.85</v>
      </c>
      <c r="G82" s="32"/>
      <c r="H82" s="16">
        <f>E82-F82</f>
        <v>3542.85</v>
      </c>
      <c r="I82" s="17">
        <f>H82/E82</f>
        <v>0</v>
      </c>
    </row>
    <row r="83" spans="1:9" ht="12.75">
      <c r="A83" s="1">
        <v>8110</v>
      </c>
      <c r="B83" s="1" t="s">
        <v>82</v>
      </c>
      <c r="C83" s="14"/>
      <c r="D83" s="14"/>
      <c r="E83" s="15">
        <v>0</v>
      </c>
      <c r="F83" s="15">
        <v>7723.8</v>
      </c>
      <c r="G83" s="32">
        <v>385.96</v>
      </c>
      <c r="H83" s="16">
        <f>E83-F83</f>
        <v>-7723.8</v>
      </c>
      <c r="I83" s="17">
        <f>H83/E83</f>
        <v>0</v>
      </c>
    </row>
    <row r="84" spans="1:9" ht="12.75">
      <c r="A84" s="1">
        <v>8140</v>
      </c>
      <c r="B84" s="1" t="s">
        <v>83</v>
      </c>
      <c r="C84" s="14">
        <f>Budsjett_enkel!C79</f>
        <v>10000</v>
      </c>
      <c r="D84" s="14"/>
      <c r="E84" s="32">
        <v>15000</v>
      </c>
      <c r="F84" s="32">
        <v>15</v>
      </c>
      <c r="G84" s="32">
        <v>0</v>
      </c>
      <c r="H84" s="16">
        <f>E84-F84</f>
        <v>14985</v>
      </c>
      <c r="I84" s="17">
        <f>H84/E84</f>
        <v>0.999</v>
      </c>
    </row>
    <row r="85" spans="1:9" ht="12.75">
      <c r="A85" s="18" t="s">
        <v>84</v>
      </c>
      <c r="C85" s="14">
        <f>SUM(C81:C84)</f>
        <v>-25000</v>
      </c>
      <c r="D85" s="14">
        <f>SUM(D81:D84)</f>
        <v>0</v>
      </c>
      <c r="E85" s="32">
        <f>SUM(E81:E84)</f>
        <v>-35000</v>
      </c>
      <c r="F85" s="32">
        <f>SUM(F81:F84)</f>
        <v>-27455.899999999998</v>
      </c>
      <c r="G85" s="32">
        <f>SUM(G81:G84)</f>
        <v>-41559.450000000004</v>
      </c>
      <c r="H85" s="16">
        <f>E85-F85</f>
        <v>-7544.100000000002</v>
      </c>
      <c r="I85" s="17">
        <f>H85/E85</f>
        <v>0.21554571428571434</v>
      </c>
    </row>
    <row r="86" spans="3:9" ht="12.75">
      <c r="C86" s="14"/>
      <c r="D86" s="14"/>
      <c r="E86" s="32"/>
      <c r="F86" s="32"/>
      <c r="G86" s="32"/>
      <c r="H86" s="16"/>
      <c r="I86" s="17" t="e">
        <f>H86/E86</f>
        <v>#DIV/0!</v>
      </c>
    </row>
    <row r="87" spans="1:9" ht="12.75">
      <c r="A87" s="37" t="s">
        <v>85</v>
      </c>
      <c r="B87" s="37"/>
      <c r="C87" s="38">
        <f>C79-C85</f>
        <v>-1551.9730027988553</v>
      </c>
      <c r="D87" s="38">
        <f>D79-D85</f>
        <v>0</v>
      </c>
      <c r="E87" s="39">
        <f>E79-E85</f>
        <v>52788.47000000067</v>
      </c>
      <c r="F87" s="39">
        <f>F79-F85</f>
        <v>-193338.30000000112</v>
      </c>
      <c r="G87" s="39">
        <f>G79-G85</f>
        <v>181245.91999999882</v>
      </c>
      <c r="H87" s="24">
        <f>E87+F87</f>
        <v>-140549.83000000045</v>
      </c>
      <c r="I87" s="17">
        <f>H87/E87</f>
        <v>-2.6625100140238707</v>
      </c>
    </row>
    <row r="88" spans="3:8" ht="12.75">
      <c r="C88" s="14"/>
      <c r="D88" s="14"/>
      <c r="E88" s="32"/>
      <c r="F88" s="32"/>
      <c r="G88" s="32"/>
      <c r="H88" s="14"/>
    </row>
    <row r="89" spans="5:8" ht="12.75">
      <c r="E89" s="40"/>
      <c r="F89" s="40"/>
      <c r="G89" s="40"/>
      <c r="H89" s="14"/>
    </row>
    <row r="90" spans="1:8" ht="12.75">
      <c r="A90" s="7" t="s">
        <v>86</v>
      </c>
      <c r="B90" s="41"/>
      <c r="C90" s="3" t="s">
        <v>1</v>
      </c>
      <c r="D90" s="3" t="s">
        <v>2</v>
      </c>
      <c r="E90" s="4" t="s">
        <v>3</v>
      </c>
      <c r="F90" s="4" t="s">
        <v>4</v>
      </c>
      <c r="G90" s="4" t="s">
        <v>5</v>
      </c>
      <c r="H90" s="14"/>
    </row>
    <row r="91" spans="1:8" ht="12.75">
      <c r="A91" s="1">
        <v>2025</v>
      </c>
      <c r="B91" s="42" t="s">
        <v>87</v>
      </c>
      <c r="C91" s="43">
        <f>Budsjett_enkel!C84</f>
        <v>0</v>
      </c>
      <c r="D91" s="43"/>
      <c r="E91" s="44">
        <v>37300</v>
      </c>
      <c r="F91" s="45">
        <v>0</v>
      </c>
      <c r="G91" s="44">
        <v>0</v>
      </c>
      <c r="H91" s="14"/>
    </row>
    <row r="92" spans="1:8" ht="12.75">
      <c r="A92" s="1">
        <v>2028</v>
      </c>
      <c r="B92" s="46" t="s">
        <v>88</v>
      </c>
      <c r="C92" s="47">
        <f>Budsjett_enkel!C86</f>
        <v>-75224.78300279984</v>
      </c>
      <c r="D92" s="47"/>
      <c r="E92" s="28">
        <v>11701.65</v>
      </c>
      <c r="F92" s="28">
        <v>0</v>
      </c>
      <c r="G92" s="48">
        <v>0</v>
      </c>
      <c r="H92" s="14"/>
    </row>
    <row r="93" spans="1:8" ht="12.75">
      <c r="A93" s="1">
        <v>2029</v>
      </c>
      <c r="B93" s="46" t="s">
        <v>89</v>
      </c>
      <c r="C93" s="47">
        <f>Budsjett_enkel!C87</f>
        <v>-10000</v>
      </c>
      <c r="D93" s="47"/>
      <c r="E93" s="48">
        <v>0</v>
      </c>
      <c r="F93" s="49">
        <v>0</v>
      </c>
      <c r="G93" s="48">
        <v>0</v>
      </c>
      <c r="H93" s="14"/>
    </row>
    <row r="94" spans="1:8" ht="12.75">
      <c r="A94" s="1">
        <v>2030</v>
      </c>
      <c r="B94" s="46" t="s">
        <v>90</v>
      </c>
      <c r="C94" s="47">
        <f>Budsjett_enkel!C88</f>
        <v>0</v>
      </c>
      <c r="D94" s="47"/>
      <c r="E94" s="28">
        <v>15000</v>
      </c>
      <c r="F94" s="28">
        <v>0</v>
      </c>
      <c r="G94" s="48">
        <v>0</v>
      </c>
      <c r="H94" s="14"/>
    </row>
    <row r="95" spans="1:8" ht="12.75">
      <c r="A95" s="1">
        <v>2040</v>
      </c>
      <c r="B95" s="46" t="s">
        <v>91</v>
      </c>
      <c r="C95" s="47">
        <f>Budsjett_enkel!C89</f>
        <v>80000</v>
      </c>
      <c r="D95" s="47"/>
      <c r="E95" s="48">
        <v>0</v>
      </c>
      <c r="F95" s="49">
        <v>0</v>
      </c>
      <c r="G95" s="48">
        <v>0</v>
      </c>
      <c r="H95" s="14"/>
    </row>
    <row r="96" spans="1:8" ht="12.75">
      <c r="A96" s="41">
        <v>2050</v>
      </c>
      <c r="B96" s="50" t="s">
        <v>92</v>
      </c>
      <c r="C96" s="51"/>
      <c r="D96" s="51"/>
      <c r="E96" s="28">
        <v>0</v>
      </c>
      <c r="F96" s="28">
        <v>0</v>
      </c>
      <c r="G96" s="52">
        <v>0</v>
      </c>
      <c r="H96" s="14"/>
    </row>
    <row r="97" spans="2:8" ht="12.75">
      <c r="B97" s="46" t="s">
        <v>93</v>
      </c>
      <c r="C97" s="43">
        <f>SUM(C91:C96)</f>
        <v>-5224.7830027998425</v>
      </c>
      <c r="D97" s="43">
        <f>SUM(D91:D96)</f>
        <v>0</v>
      </c>
      <c r="E97" s="44">
        <f>SUM(E91:E96)</f>
        <v>64001.65</v>
      </c>
      <c r="F97" s="44">
        <f>SUM(F91:F96)</f>
        <v>0</v>
      </c>
      <c r="G97" s="44">
        <f>SUM(G91:G96)</f>
        <v>0</v>
      </c>
      <c r="H97" s="14"/>
    </row>
    <row r="98" spans="1:8" ht="12.75">
      <c r="A98" s="41">
        <v>8980</v>
      </c>
      <c r="B98" s="50" t="s">
        <v>94</v>
      </c>
      <c r="C98" s="51">
        <f>C87-C97</f>
        <v>3672.810000000987</v>
      </c>
      <c r="D98" s="51">
        <f>D87-D97</f>
        <v>0</v>
      </c>
      <c r="E98" s="52">
        <f>E87-E97</f>
        <v>-11213.17999999933</v>
      </c>
      <c r="F98" s="52">
        <f>F87-F97</f>
        <v>-193338.30000000112</v>
      </c>
      <c r="G98" s="52">
        <f>G87-G97</f>
        <v>181245.91999999882</v>
      </c>
      <c r="H98" s="14"/>
    </row>
    <row r="99" spans="3:8" ht="12.75">
      <c r="C99" s="14"/>
      <c r="D99" s="14"/>
      <c r="E99" s="14"/>
      <c r="F99" s="14"/>
      <c r="G99" s="14"/>
      <c r="H99" s="14"/>
    </row>
    <row r="100" spans="3:8" ht="12.75">
      <c r="C100" s="14"/>
      <c r="D100" s="14"/>
      <c r="E100" s="14"/>
      <c r="F100" s="14"/>
      <c r="G100" s="14"/>
      <c r="H100" s="14"/>
    </row>
    <row r="101" spans="3:8" ht="12.75">
      <c r="C101" s="14"/>
      <c r="D101" s="14"/>
      <c r="E101" s="14"/>
      <c r="F101" s="14"/>
      <c r="G101" s="14"/>
      <c r="H101" s="14"/>
    </row>
    <row r="102" spans="3:8" ht="12.75">
      <c r="C102" s="14"/>
      <c r="D102" s="14"/>
      <c r="E102" s="14"/>
      <c r="F102" s="14"/>
      <c r="G102" s="14"/>
      <c r="H102" s="14"/>
    </row>
    <row r="103" spans="3:8" ht="12.75">
      <c r="C103" s="14"/>
      <c r="D103" s="14"/>
      <c r="E103" s="14"/>
      <c r="F103" s="14"/>
      <c r="G103" s="14"/>
      <c r="H103" s="14"/>
    </row>
    <row r="104" spans="3:8" ht="12.75">
      <c r="C104" s="14"/>
      <c r="D104" s="14"/>
      <c r="E104" s="14"/>
      <c r="F104" s="14"/>
      <c r="G104" s="14"/>
      <c r="H104" s="14"/>
    </row>
    <row r="105" spans="3:8" ht="12.75">
      <c r="C105" s="14"/>
      <c r="D105" s="14"/>
      <c r="E105" s="14"/>
      <c r="F105" s="14"/>
      <c r="G105" s="14"/>
      <c r="H105" s="14"/>
    </row>
    <row r="106" spans="3:8" ht="12.75">
      <c r="C106" s="14"/>
      <c r="D106" s="14"/>
      <c r="E106" s="14"/>
      <c r="F106" s="14"/>
      <c r="G106" s="14"/>
      <c r="H106" s="14"/>
    </row>
    <row r="107" spans="3:8" ht="12.75">
      <c r="C107" s="14"/>
      <c r="D107" s="14"/>
      <c r="E107" s="14"/>
      <c r="F107" s="14"/>
      <c r="G107" s="14"/>
      <c r="H107" s="14"/>
    </row>
    <row r="108" spans="3:8" ht="12.75">
      <c r="C108" s="14"/>
      <c r="D108" s="14"/>
      <c r="E108" s="14"/>
      <c r="F108" s="14"/>
      <c r="G108" s="14"/>
      <c r="H108" s="14"/>
    </row>
    <row r="109" spans="3:8" ht="12.75">
      <c r="C109" s="14"/>
      <c r="D109" s="14"/>
      <c r="E109" s="14"/>
      <c r="F109" s="14"/>
      <c r="G109" s="14"/>
      <c r="H109" s="14"/>
    </row>
    <row r="110" spans="3:8" ht="12.75">
      <c r="C110" s="14"/>
      <c r="D110" s="14"/>
      <c r="E110" s="14"/>
      <c r="F110" s="14"/>
      <c r="G110" s="14"/>
      <c r="H110" s="14"/>
    </row>
    <row r="111" spans="3:8" ht="12.75">
      <c r="C111" s="14"/>
      <c r="D111" s="14"/>
      <c r="E111" s="14"/>
      <c r="F111" s="14"/>
      <c r="G111" s="14"/>
      <c r="H111" s="14"/>
    </row>
    <row r="112" spans="3:8" ht="12.75">
      <c r="C112" s="14"/>
      <c r="D112" s="14"/>
      <c r="E112" s="14"/>
      <c r="F112" s="14"/>
      <c r="G112" s="14"/>
      <c r="H112" s="14"/>
    </row>
    <row r="113" spans="3:8" ht="12.75">
      <c r="C113" s="14"/>
      <c r="D113" s="14"/>
      <c r="E113" s="14"/>
      <c r="F113" s="14"/>
      <c r="G113" s="14"/>
      <c r="H113" s="14"/>
    </row>
    <row r="114" spans="3:8" ht="12.75">
      <c r="C114" s="14"/>
      <c r="D114" s="14"/>
      <c r="E114" s="14"/>
      <c r="F114" s="14"/>
      <c r="G114" s="14"/>
      <c r="H114" s="14"/>
    </row>
    <row r="115" spans="3:8" ht="12.75">
      <c r="C115" s="14"/>
      <c r="D115" s="14"/>
      <c r="E115" s="14"/>
      <c r="F115" s="14"/>
      <c r="G115" s="14"/>
      <c r="H115" s="14"/>
    </row>
    <row r="116" spans="3:8" ht="12.75">
      <c r="C116" s="14"/>
      <c r="D116" s="14"/>
      <c r="E116" s="14"/>
      <c r="F116" s="14"/>
      <c r="G116" s="14"/>
      <c r="H116" s="14"/>
    </row>
    <row r="117" spans="3:8" ht="12.75">
      <c r="C117" s="14"/>
      <c r="D117" s="14"/>
      <c r="E117" s="14"/>
      <c r="F117" s="14"/>
      <c r="G117" s="14"/>
      <c r="H117" s="14"/>
    </row>
    <row r="118" spans="3:8" ht="12.75">
      <c r="C118" s="14"/>
      <c r="D118" s="14"/>
      <c r="E118" s="14"/>
      <c r="F118" s="14"/>
      <c r="G118" s="14"/>
      <c r="H118" s="14"/>
    </row>
    <row r="119" spans="3:8" ht="12.75">
      <c r="C119" s="14"/>
      <c r="D119" s="14"/>
      <c r="E119" s="14"/>
      <c r="F119" s="14"/>
      <c r="G119" s="14"/>
      <c r="H119" s="14"/>
    </row>
    <row r="120" spans="3:8" ht="12.75">
      <c r="C120" s="14"/>
      <c r="D120" s="14"/>
      <c r="E120" s="14"/>
      <c r="F120" s="14"/>
      <c r="G120" s="14"/>
      <c r="H120" s="14"/>
    </row>
    <row r="121" spans="3:8" ht="12.75">
      <c r="C121" s="14"/>
      <c r="D121" s="14"/>
      <c r="E121" s="14"/>
      <c r="F121" s="14"/>
      <c r="G121" s="14"/>
      <c r="H121" s="14"/>
    </row>
    <row r="122" spans="3:8" ht="12.75">
      <c r="C122" s="14"/>
      <c r="D122" s="14"/>
      <c r="E122" s="14"/>
      <c r="F122" s="14"/>
      <c r="G122" s="14"/>
      <c r="H122" s="14"/>
    </row>
    <row r="123" spans="3:8" ht="12.75">
      <c r="C123" s="14"/>
      <c r="D123" s="14"/>
      <c r="E123" s="14"/>
      <c r="F123" s="14"/>
      <c r="G123" s="14"/>
      <c r="H123" s="14"/>
    </row>
    <row r="124" spans="3:8" ht="12.75">
      <c r="C124" s="14"/>
      <c r="D124" s="14"/>
      <c r="E124" s="14"/>
      <c r="F124" s="14"/>
      <c r="G124" s="14"/>
      <c r="H124" s="14"/>
    </row>
    <row r="125" spans="3:8" ht="12.75">
      <c r="C125" s="14"/>
      <c r="D125" s="14"/>
      <c r="E125" s="14"/>
      <c r="F125" s="14"/>
      <c r="G125" s="14"/>
      <c r="H125" s="14"/>
    </row>
    <row r="126" spans="3:8" ht="12.75">
      <c r="C126" s="14"/>
      <c r="D126" s="14"/>
      <c r="E126" s="14"/>
      <c r="F126" s="14"/>
      <c r="G126" s="14"/>
      <c r="H126" s="14"/>
    </row>
    <row r="127" spans="3:8" ht="12.75">
      <c r="C127" s="14"/>
      <c r="D127" s="14"/>
      <c r="E127" s="14"/>
      <c r="F127" s="14"/>
      <c r="G127" s="14"/>
      <c r="H127" s="14"/>
    </row>
    <row r="128" spans="3:8" ht="12.75">
      <c r="C128" s="14"/>
      <c r="D128" s="14"/>
      <c r="E128" s="14"/>
      <c r="F128" s="14"/>
      <c r="G128" s="14"/>
      <c r="H128" s="14"/>
    </row>
    <row r="129" spans="3:8" ht="12.75">
      <c r="C129" s="14"/>
      <c r="D129" s="14"/>
      <c r="E129" s="14"/>
      <c r="F129" s="14"/>
      <c r="G129" s="14"/>
      <c r="H129" s="14"/>
    </row>
    <row r="130" spans="3:8" ht="12.75">
      <c r="C130" s="14"/>
      <c r="D130" s="14"/>
      <c r="E130" s="14"/>
      <c r="F130" s="14"/>
      <c r="G130" s="14"/>
      <c r="H130" s="14"/>
    </row>
    <row r="131" spans="3:8" ht="12.75">
      <c r="C131" s="14"/>
      <c r="D131" s="14"/>
      <c r="E131" s="14"/>
      <c r="F131" s="14"/>
      <c r="G131" s="14"/>
      <c r="H131" s="14"/>
    </row>
    <row r="132" spans="3:8" ht="12.75">
      <c r="C132" s="14"/>
      <c r="D132" s="14"/>
      <c r="E132" s="14"/>
      <c r="F132" s="14"/>
      <c r="G132" s="14"/>
      <c r="H132" s="14"/>
    </row>
    <row r="133" spans="3:8" ht="12.75">
      <c r="C133" s="14"/>
      <c r="D133" s="14"/>
      <c r="E133" s="14"/>
      <c r="F133" s="14"/>
      <c r="G133" s="14"/>
      <c r="H133" s="14"/>
    </row>
    <row r="134" spans="3:8" ht="12.75">
      <c r="C134" s="14"/>
      <c r="D134" s="14"/>
      <c r="E134" s="14"/>
      <c r="F134" s="14"/>
      <c r="G134" s="14"/>
      <c r="H134" s="14"/>
    </row>
    <row r="135" spans="3:8" ht="12.75">
      <c r="C135" s="14"/>
      <c r="D135" s="14"/>
      <c r="E135" s="14"/>
      <c r="F135" s="14"/>
      <c r="G135" s="14"/>
      <c r="H135" s="14"/>
    </row>
    <row r="136" spans="3:8" ht="12.75">
      <c r="C136" s="14"/>
      <c r="D136" s="14"/>
      <c r="E136" s="14"/>
      <c r="F136" s="14"/>
      <c r="G136" s="14"/>
      <c r="H136" s="14"/>
    </row>
    <row r="137" spans="3:8" ht="12.75">
      <c r="C137" s="14"/>
      <c r="D137" s="14"/>
      <c r="E137" s="14"/>
      <c r="F137" s="14"/>
      <c r="G137" s="14"/>
      <c r="H137" s="14"/>
    </row>
    <row r="138" spans="3:8" ht="12.75">
      <c r="C138" s="14"/>
      <c r="D138" s="14"/>
      <c r="E138" s="14"/>
      <c r="F138" s="14"/>
      <c r="G138" s="14"/>
      <c r="H138" s="14"/>
    </row>
    <row r="139" spans="3:8" ht="12.75">
      <c r="C139" s="14"/>
      <c r="D139" s="14"/>
      <c r="E139" s="14"/>
      <c r="F139" s="14"/>
      <c r="G139" s="14"/>
      <c r="H139" s="14"/>
    </row>
    <row r="140" spans="3:8" ht="12.75">
      <c r="C140" s="14"/>
      <c r="D140" s="14"/>
      <c r="E140" s="14"/>
      <c r="F140" s="14"/>
      <c r="G140" s="14"/>
      <c r="H140" s="14"/>
    </row>
    <row r="141" spans="3:8" ht="12.75">
      <c r="C141" s="14"/>
      <c r="D141" s="14"/>
      <c r="E141" s="14"/>
      <c r="F141" s="14"/>
      <c r="G141" s="14"/>
      <c r="H141" s="14"/>
    </row>
    <row r="142" spans="3:8" ht="12.75">
      <c r="C142" s="14"/>
      <c r="D142" s="14"/>
      <c r="E142" s="14"/>
      <c r="F142" s="14"/>
      <c r="G142" s="14"/>
      <c r="H142" s="14"/>
    </row>
    <row r="143" spans="3:8" ht="12.75">
      <c r="C143" s="14"/>
      <c r="D143" s="14"/>
      <c r="E143" s="14"/>
      <c r="F143" s="14"/>
      <c r="G143" s="14"/>
      <c r="H143" s="14"/>
    </row>
    <row r="144" spans="3:8" ht="12.75">
      <c r="C144" s="14"/>
      <c r="D144" s="14"/>
      <c r="E144" s="14"/>
      <c r="F144" s="14"/>
      <c r="G144" s="14"/>
      <c r="H144" s="14"/>
    </row>
    <row r="145" spans="3:8" ht="12.75">
      <c r="C145" s="14"/>
      <c r="D145" s="14"/>
      <c r="E145" s="14"/>
      <c r="F145" s="14"/>
      <c r="G145" s="14"/>
      <c r="H145" s="14"/>
    </row>
    <row r="146" spans="3:8" ht="12.75">
      <c r="C146" s="14"/>
      <c r="D146" s="14"/>
      <c r="E146" s="14"/>
      <c r="F146" s="14"/>
      <c r="G146" s="14"/>
      <c r="H146" s="14"/>
    </row>
    <row r="147" spans="3:8" ht="12.75">
      <c r="C147" s="14"/>
      <c r="D147" s="14"/>
      <c r="E147" s="14"/>
      <c r="F147" s="14"/>
      <c r="G147" s="14"/>
      <c r="H147" s="14"/>
    </row>
    <row r="148" spans="3:8" ht="12.75">
      <c r="C148" s="14"/>
      <c r="D148" s="14"/>
      <c r="E148" s="14"/>
      <c r="F148" s="14"/>
      <c r="G148" s="14"/>
      <c r="H148" s="14"/>
    </row>
    <row r="149" spans="3:8" ht="12.75">
      <c r="C149" s="14"/>
      <c r="D149" s="14"/>
      <c r="E149" s="14"/>
      <c r="F149" s="14"/>
      <c r="G149" s="14"/>
      <c r="H149" s="14"/>
    </row>
    <row r="150" spans="3:8" ht="12.75">
      <c r="C150" s="14"/>
      <c r="D150" s="14"/>
      <c r="E150" s="14"/>
      <c r="F150" s="14"/>
      <c r="G150" s="14"/>
      <c r="H150" s="14"/>
    </row>
    <row r="151" spans="3:8" ht="12.75">
      <c r="C151" s="14"/>
      <c r="D151" s="14"/>
      <c r="E151" s="14"/>
      <c r="F151" s="14"/>
      <c r="G151" s="14"/>
      <c r="H151" s="14"/>
    </row>
    <row r="152" spans="3:8" ht="12.75">
      <c r="C152" s="14"/>
      <c r="D152" s="14"/>
      <c r="E152" s="14"/>
      <c r="F152" s="14"/>
      <c r="G152" s="14"/>
      <c r="H152" s="14"/>
    </row>
    <row r="153" spans="3:8" ht="12.75">
      <c r="C153" s="14"/>
      <c r="D153" s="14"/>
      <c r="E153" s="14"/>
      <c r="F153" s="14"/>
      <c r="G153" s="14"/>
      <c r="H153" s="14"/>
    </row>
    <row r="154" spans="3:8" ht="12.75">
      <c r="C154" s="14"/>
      <c r="D154" s="14"/>
      <c r="E154" s="14"/>
      <c r="F154" s="14"/>
      <c r="G154" s="14"/>
      <c r="H154" s="14"/>
    </row>
    <row r="155" spans="3:8" ht="12.75">
      <c r="C155" s="14"/>
      <c r="D155" s="14"/>
      <c r="E155" s="14"/>
      <c r="F155" s="14"/>
      <c r="G155" s="14"/>
      <c r="H155" s="14"/>
    </row>
    <row r="156" spans="3:8" ht="12.75">
      <c r="C156" s="14"/>
      <c r="D156" s="14"/>
      <c r="E156" s="14"/>
      <c r="F156" s="14"/>
      <c r="G156" s="14"/>
      <c r="H156" s="14"/>
    </row>
    <row r="157" spans="3:8" ht="12.75">
      <c r="C157" s="14"/>
      <c r="D157" s="14"/>
      <c r="E157" s="14"/>
      <c r="F157" s="14"/>
      <c r="G157" s="14"/>
      <c r="H157" s="14"/>
    </row>
    <row r="158" spans="3:8" ht="12.75">
      <c r="C158" s="14"/>
      <c r="D158" s="14"/>
      <c r="E158" s="14"/>
      <c r="F158" s="14"/>
      <c r="G158" s="14"/>
      <c r="H158" s="14"/>
    </row>
    <row r="159" spans="3:8" ht="12.75">
      <c r="C159" s="14"/>
      <c r="D159" s="14"/>
      <c r="E159" s="14"/>
      <c r="F159" s="14"/>
      <c r="G159" s="14"/>
      <c r="H159" s="14"/>
    </row>
    <row r="160" spans="3:8" ht="12.75">
      <c r="C160" s="14"/>
      <c r="D160" s="14"/>
      <c r="E160" s="14"/>
      <c r="F160" s="14"/>
      <c r="G160" s="14"/>
      <c r="H160" s="14"/>
    </row>
    <row r="161" spans="3:8" ht="12.75">
      <c r="C161" s="14"/>
      <c r="D161" s="14"/>
      <c r="E161" s="14"/>
      <c r="F161" s="14"/>
      <c r="G161" s="14"/>
      <c r="H161" s="14"/>
    </row>
  </sheetData>
  <sheetProtection selectLockedCells="1" selectUnlockedCells="1"/>
  <mergeCells count="3">
    <mergeCell ref="A1:B1"/>
    <mergeCell ref="A2:B2"/>
    <mergeCell ref="A19:B19"/>
  </mergeCells>
  <conditionalFormatting sqref="C79:G7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C87:G87">
    <cfRule type="cellIs" priority="3" dxfId="0" operator="lessThan" stopIfTrue="1">
      <formula>0</formula>
    </cfRule>
    <cfRule type="cellIs" priority="4" dxfId="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6:E16"/>
  <sheetViews>
    <sheetView showGridLines="0" zoomScale="60" zoomScaleNormal="60" workbookViewId="0" topLeftCell="A1">
      <selection activeCell="A5" sqref="A5"/>
    </sheetView>
  </sheetViews>
  <sheetFormatPr defaultColWidth="11.421875" defaultRowHeight="12.75"/>
  <cols>
    <col min="1" max="16384" width="11.57421875" style="0" customWidth="1"/>
  </cols>
  <sheetData>
    <row r="16" spans="2:5" ht="12.75">
      <c r="B16" s="328"/>
      <c r="E16" s="3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="60" zoomScaleNormal="60" workbookViewId="0" topLeftCell="A1">
      <pane xSplit="2" ySplit="1" topLeftCell="C64" activePane="bottomRight" state="frozen"/>
      <selection pane="topLeft" activeCell="A1" sqref="A1"/>
      <selection pane="topRight" activeCell="C1" sqref="C1"/>
      <selection pane="bottomLeft" activeCell="A64" sqref="A64"/>
      <selection pane="bottomRight" activeCell="F59" sqref="F59"/>
    </sheetView>
  </sheetViews>
  <sheetFormatPr defaultColWidth="12.57421875" defaultRowHeight="12.75"/>
  <cols>
    <col min="1" max="1" width="6.421875" style="53" customWidth="1"/>
    <col min="2" max="2" width="29.28125" style="53" customWidth="1"/>
    <col min="3" max="3" width="18.28125" style="53" customWidth="1"/>
    <col min="4" max="4" width="35.7109375" style="53" customWidth="1"/>
    <col min="5" max="13" width="18.28125" style="53" customWidth="1"/>
    <col min="14" max="16384" width="12.57421875" style="53" customWidth="1"/>
  </cols>
  <sheetData>
    <row r="1" spans="1:13" ht="12.75">
      <c r="A1" s="53" t="s">
        <v>95</v>
      </c>
      <c r="B1" s="54" t="s">
        <v>96</v>
      </c>
      <c r="C1" s="55" t="s">
        <v>97</v>
      </c>
      <c r="D1" s="55"/>
      <c r="E1" s="55"/>
      <c r="F1" s="56" t="s">
        <v>98</v>
      </c>
      <c r="G1" s="56"/>
      <c r="H1" s="56" t="s">
        <v>99</v>
      </c>
      <c r="I1" s="56"/>
      <c r="J1" s="56" t="s">
        <v>100</v>
      </c>
      <c r="K1" s="56"/>
      <c r="L1" s="57" t="s">
        <v>101</v>
      </c>
      <c r="M1" s="57"/>
    </row>
    <row r="2" spans="1:13" ht="12.75">
      <c r="A2" s="58"/>
      <c r="B2" s="58"/>
      <c r="C2" s="59" t="s">
        <v>102</v>
      </c>
      <c r="D2" s="60" t="s">
        <v>103</v>
      </c>
      <c r="E2" s="61" t="s">
        <v>104</v>
      </c>
      <c r="F2" s="62" t="s">
        <v>105</v>
      </c>
      <c r="G2" s="63" t="s">
        <v>106</v>
      </c>
      <c r="H2" s="62" t="s">
        <v>105</v>
      </c>
      <c r="I2" s="63" t="s">
        <v>106</v>
      </c>
      <c r="J2" s="62" t="s">
        <v>105</v>
      </c>
      <c r="K2" s="63" t="s">
        <v>106</v>
      </c>
      <c r="L2" s="62" t="s">
        <v>105</v>
      </c>
      <c r="M2" s="63" t="s">
        <v>106</v>
      </c>
    </row>
    <row r="3" spans="2:13" ht="12.75">
      <c r="B3" s="64" t="s">
        <v>107</v>
      </c>
      <c r="C3" s="65"/>
      <c r="D3" s="66">
        <f>C3-E3</f>
        <v>0</v>
      </c>
      <c r="E3" s="66"/>
      <c r="F3" s="67"/>
      <c r="G3" s="68"/>
      <c r="H3" s="67"/>
      <c r="I3" s="68"/>
      <c r="J3" s="67"/>
      <c r="K3" s="68"/>
      <c r="L3" s="67"/>
      <c r="M3" s="69"/>
    </row>
    <row r="4" spans="1:13" ht="12.75">
      <c r="A4" s="70">
        <v>3010</v>
      </c>
      <c r="B4" s="71" t="s">
        <v>9</v>
      </c>
      <c r="C4" s="72">
        <f>F4+H4+J4+L4</f>
        <v>0</v>
      </c>
      <c r="D4" s="66">
        <f>C4-E4</f>
        <v>0</v>
      </c>
      <c r="E4" s="73">
        <f>Budsjettanalyse!F3</f>
        <v>0</v>
      </c>
      <c r="F4" s="74"/>
      <c r="G4" s="75"/>
      <c r="H4" s="74"/>
      <c r="I4" s="75"/>
      <c r="J4" s="74"/>
      <c r="K4" s="75"/>
      <c r="L4" s="74"/>
      <c r="M4" s="76"/>
    </row>
    <row r="5" spans="1:13" ht="12.75">
      <c r="A5" s="70">
        <v>3050</v>
      </c>
      <c r="B5" s="71" t="s">
        <v>10</v>
      </c>
      <c r="C5" s="72">
        <f>F5+H5</f>
        <v>504400</v>
      </c>
      <c r="D5" s="66"/>
      <c r="E5" s="73"/>
      <c r="F5" s="74">
        <f>Sentralt!B7</f>
        <v>300000</v>
      </c>
      <c r="G5" s="75"/>
      <c r="H5" s="74">
        <f>-(Program!H7)</f>
        <v>204400</v>
      </c>
      <c r="I5" s="75"/>
      <c r="J5" s="74"/>
      <c r="K5" s="75"/>
      <c r="L5" s="74"/>
      <c r="M5" s="76"/>
    </row>
    <row r="6" spans="1:14" ht="12.75">
      <c r="A6" s="70">
        <v>3110</v>
      </c>
      <c r="B6" s="71" t="s">
        <v>11</v>
      </c>
      <c r="C6" s="72">
        <f>F6+H6+J6+L6</f>
        <v>793756.1</v>
      </c>
      <c r="D6" s="66">
        <f>C6-E6</f>
        <v>-545149.9</v>
      </c>
      <c r="E6" s="73">
        <v>1338906</v>
      </c>
      <c r="F6" s="74">
        <f>Sentralt!B6+Sentralt!B10+Sentralt!B15+Sentralt!B5</f>
        <v>368000</v>
      </c>
      <c r="G6" s="75"/>
      <c r="H6" s="77">
        <f>-(Program!H5+Program!H6+Program!H8+Program!H9+Program!H10+Program!H12+Program!H14)</f>
        <v>425756.1</v>
      </c>
      <c r="I6" s="75"/>
      <c r="J6" s="74"/>
      <c r="K6" s="75"/>
      <c r="L6" s="74"/>
      <c r="M6" s="76"/>
      <c r="N6" s="78"/>
    </row>
    <row r="7" spans="1:13" ht="12.75">
      <c r="A7" s="70"/>
      <c r="B7" s="79" t="s">
        <v>12</v>
      </c>
      <c r="C7" s="80">
        <f>SUM(C4:C6)</f>
        <v>1298156.1</v>
      </c>
      <c r="D7" s="80">
        <f>SUM(D6)</f>
        <v>-545149.9</v>
      </c>
      <c r="E7" s="80">
        <f>SUM(E4:E6)</f>
        <v>1338906</v>
      </c>
      <c r="F7" s="80">
        <f>SUM(F4:F6)</f>
        <v>668000</v>
      </c>
      <c r="G7" s="81"/>
      <c r="H7" s="80">
        <f>SUM(H4:H6)</f>
        <v>630156.1</v>
      </c>
      <c r="I7" s="81"/>
      <c r="J7" s="80">
        <f>SUM(J4:J6)</f>
        <v>0</v>
      </c>
      <c r="K7" s="81"/>
      <c r="L7" s="80">
        <f>SUM(L4:L6)</f>
        <v>0</v>
      </c>
      <c r="M7" s="82"/>
    </row>
    <row r="8" spans="1:13" ht="12.75">
      <c r="A8" s="70">
        <v>3900</v>
      </c>
      <c r="B8" s="71" t="s">
        <v>13</v>
      </c>
      <c r="C8" s="72">
        <f>F8+H8+J8+L8</f>
        <v>1040000</v>
      </c>
      <c r="D8" s="73">
        <f>C8-E8</f>
        <v>20000</v>
      </c>
      <c r="E8" s="73">
        <v>1020000</v>
      </c>
      <c r="F8" s="74">
        <f>Sentralt!B9+Sentralt!B12</f>
        <v>260000</v>
      </c>
      <c r="G8" s="75"/>
      <c r="H8" s="74"/>
      <c r="I8" s="75"/>
      <c r="J8" s="74"/>
      <c r="K8" s="75"/>
      <c r="L8" s="74">
        <f>(Prosjekter!E13-Prosjekter!E6-Prosjekter!E7-Prosjekter!G13)</f>
        <v>780000</v>
      </c>
      <c r="M8" s="76"/>
    </row>
    <row r="9" spans="1:13" ht="12.75">
      <c r="A9" s="70">
        <v>3901</v>
      </c>
      <c r="B9" s="71" t="s">
        <v>108</v>
      </c>
      <c r="C9" s="72">
        <f>F9+H9+J9+L9</f>
        <v>475000</v>
      </c>
      <c r="D9" s="73">
        <f>C9-E9</f>
        <v>0</v>
      </c>
      <c r="E9" s="73">
        <v>475000</v>
      </c>
      <c r="F9" s="74">
        <f>Sentralt!B13</f>
        <v>475000</v>
      </c>
      <c r="G9" s="75"/>
      <c r="H9" s="74"/>
      <c r="I9" s="75"/>
      <c r="J9" s="74"/>
      <c r="K9" s="75"/>
      <c r="L9" s="74"/>
      <c r="M9" s="76"/>
    </row>
    <row r="10" spans="1:13" ht="12.75">
      <c r="A10" s="70">
        <v>3910</v>
      </c>
      <c r="B10" s="83" t="s">
        <v>15</v>
      </c>
      <c r="C10" s="72">
        <f>F10+H10+J10+L10</f>
        <v>1824643</v>
      </c>
      <c r="D10" s="73">
        <f>C10-E10</f>
        <v>64643</v>
      </c>
      <c r="E10" s="73">
        <v>1760000</v>
      </c>
      <c r="F10" s="74">
        <f>Sentralt!B3+Sentralt!B4</f>
        <v>1488043</v>
      </c>
      <c r="G10" s="75"/>
      <c r="H10" s="74">
        <f>-(Program!H13)</f>
        <v>336600</v>
      </c>
      <c r="I10" s="75"/>
      <c r="J10" s="74"/>
      <c r="K10" s="75"/>
      <c r="L10" s="74"/>
      <c r="M10" s="76"/>
    </row>
    <row r="11" spans="1:13" ht="12.75">
      <c r="A11" s="70">
        <v>3911</v>
      </c>
      <c r="B11" s="84" t="s">
        <v>16</v>
      </c>
      <c r="C11" s="72">
        <f>F11+H11+J11+L11</f>
        <v>0</v>
      </c>
      <c r="D11" s="73">
        <f>C11-E11</f>
        <v>0</v>
      </c>
      <c r="E11" s="73"/>
      <c r="F11" s="74"/>
      <c r="G11" s="75"/>
      <c r="H11" s="74"/>
      <c r="I11" s="75"/>
      <c r="J11" s="74"/>
      <c r="K11" s="75"/>
      <c r="L11" s="74"/>
      <c r="M11" s="76"/>
    </row>
    <row r="12" spans="1:13" ht="12.75">
      <c r="A12" s="70">
        <v>3922</v>
      </c>
      <c r="B12" s="84" t="s">
        <v>17</v>
      </c>
      <c r="C12" s="72">
        <f>F12+H12+J12+L12</f>
        <v>1178886.8</v>
      </c>
      <c r="D12" s="73">
        <f>C12-E12</f>
        <v>-55316.19999999995</v>
      </c>
      <c r="E12" s="73">
        <v>1234203</v>
      </c>
      <c r="F12" s="74"/>
      <c r="G12" s="75"/>
      <c r="H12" s="74">
        <f>-(Program!H11)</f>
        <v>1178886.8</v>
      </c>
      <c r="I12" s="75"/>
      <c r="J12" s="74"/>
      <c r="K12" s="75"/>
      <c r="L12" s="74"/>
      <c r="M12" s="76"/>
    </row>
    <row r="13" spans="1:13" ht="12.75">
      <c r="A13" s="70">
        <v>3927</v>
      </c>
      <c r="B13" s="71" t="s">
        <v>18</v>
      </c>
      <c r="C13" s="72">
        <f>F13+H13+J13+L13</f>
        <v>500000</v>
      </c>
      <c r="D13" s="73">
        <f>C13-E13</f>
        <v>0</v>
      </c>
      <c r="E13" s="73">
        <v>500000</v>
      </c>
      <c r="F13" s="74">
        <f>Sentralt!B8</f>
        <v>500000</v>
      </c>
      <c r="G13" s="75"/>
      <c r="H13" s="74"/>
      <c r="I13" s="75"/>
      <c r="J13" s="74"/>
      <c r="K13" s="75"/>
      <c r="L13" s="74"/>
      <c r="M13" s="76"/>
    </row>
    <row r="14" spans="1:13" ht="12.75">
      <c r="A14" s="70">
        <v>3930</v>
      </c>
      <c r="B14" s="71" t="s">
        <v>109</v>
      </c>
      <c r="C14" s="72">
        <f>F14+H14+J14+L14</f>
        <v>150000</v>
      </c>
      <c r="D14" s="73">
        <f>C14-E14</f>
        <v>0</v>
      </c>
      <c r="E14" s="73">
        <v>150000</v>
      </c>
      <c r="F14" s="74"/>
      <c r="G14" s="75"/>
      <c r="H14" s="74"/>
      <c r="I14" s="75"/>
      <c r="J14" s="74"/>
      <c r="K14" s="75"/>
      <c r="L14" s="74">
        <f>Prosjekter!E6</f>
        <v>150000</v>
      </c>
      <c r="M14" s="76"/>
    </row>
    <row r="15" spans="1:13" ht="12.75">
      <c r="A15" s="70">
        <v>3950</v>
      </c>
      <c r="B15" s="83" t="s">
        <v>20</v>
      </c>
      <c r="C15" s="72">
        <f>F15+H15+J15+L15</f>
        <v>160000</v>
      </c>
      <c r="D15" s="73">
        <f>C15-E15</f>
        <v>0</v>
      </c>
      <c r="E15" s="73">
        <v>160000</v>
      </c>
      <c r="F15" s="74">
        <f>Sentralt!B11</f>
        <v>160000</v>
      </c>
      <c r="G15" s="75"/>
      <c r="H15" s="74"/>
      <c r="I15" s="75"/>
      <c r="J15" s="74"/>
      <c r="K15" s="75"/>
      <c r="L15" s="72"/>
      <c r="M15" s="76"/>
    </row>
    <row r="16" spans="1:13" ht="12.75">
      <c r="A16" s="70"/>
      <c r="B16" s="79" t="s">
        <v>21</v>
      </c>
      <c r="C16" s="80">
        <f>SUM(C8:C15)</f>
        <v>5328529.8</v>
      </c>
      <c r="D16" s="80">
        <f>SUM(D8:D15)</f>
        <v>29326.800000000047</v>
      </c>
      <c r="E16" s="80">
        <f>SUM(E8:E15)</f>
        <v>5299203</v>
      </c>
      <c r="F16" s="80">
        <f>SUM(F8:F15)</f>
        <v>2883043</v>
      </c>
      <c r="G16" s="80">
        <f>SUM(G8:G15)</f>
        <v>0</v>
      </c>
      <c r="H16" s="80">
        <f>SUM(H8:H15)</f>
        <v>1515486.8</v>
      </c>
      <c r="I16" s="80">
        <f>SUM(I8:I15)</f>
        <v>0</v>
      </c>
      <c r="J16" s="80">
        <f>SUM(J8:J15)</f>
        <v>0</v>
      </c>
      <c r="K16" s="80">
        <f>SUM(K8:K15)</f>
        <v>0</v>
      </c>
      <c r="L16" s="80">
        <f>SUM(L8:L15)</f>
        <v>930000</v>
      </c>
      <c r="M16" s="85">
        <f>SUM(M8:M15)</f>
        <v>0</v>
      </c>
    </row>
    <row r="17" spans="1:13" ht="12.75">
      <c r="A17" s="70"/>
      <c r="B17" s="79" t="s">
        <v>110</v>
      </c>
      <c r="C17" s="86">
        <f>C7+C16</f>
        <v>6626685.9</v>
      </c>
      <c r="D17" s="86">
        <f>D7+D16</f>
        <v>-515823.1</v>
      </c>
      <c r="E17" s="86">
        <f>E7+E16</f>
        <v>6638109</v>
      </c>
      <c r="F17" s="86">
        <f>F7+F16</f>
        <v>3551043</v>
      </c>
      <c r="G17" s="86">
        <f>G7+G16</f>
        <v>0</v>
      </c>
      <c r="H17" s="86">
        <f>H7+H16</f>
        <v>2145642.9</v>
      </c>
      <c r="I17" s="86">
        <f>I7+I16</f>
        <v>0</v>
      </c>
      <c r="J17" s="86">
        <f>J7+J16</f>
        <v>0</v>
      </c>
      <c r="K17" s="86">
        <f>K7+K16</f>
        <v>0</v>
      </c>
      <c r="L17" s="86">
        <f>L7+L16</f>
        <v>930000</v>
      </c>
      <c r="M17" s="87">
        <f>M7+M16</f>
        <v>0</v>
      </c>
    </row>
    <row r="18" spans="1:13" ht="12.75">
      <c r="A18" s="70"/>
      <c r="B18" s="71"/>
      <c r="C18" s="74"/>
      <c r="D18" s="66"/>
      <c r="E18" s="66"/>
      <c r="F18" s="74"/>
      <c r="G18" s="75"/>
      <c r="H18" s="74"/>
      <c r="I18" s="75"/>
      <c r="J18" s="74"/>
      <c r="K18" s="75"/>
      <c r="L18" s="74"/>
      <c r="M18" s="76"/>
    </row>
    <row r="19" spans="1:13" ht="12.75">
      <c r="A19" s="70"/>
      <c r="B19" s="88" t="s">
        <v>111</v>
      </c>
      <c r="C19" s="74"/>
      <c r="D19" s="66"/>
      <c r="E19" s="66"/>
      <c r="F19" s="74"/>
      <c r="G19" s="75"/>
      <c r="H19" s="74"/>
      <c r="I19" s="75"/>
      <c r="J19" s="74"/>
      <c r="K19" s="75"/>
      <c r="L19" s="74"/>
      <c r="M19" s="76"/>
    </row>
    <row r="20" spans="1:13" ht="12.75">
      <c r="A20" s="70">
        <v>4010</v>
      </c>
      <c r="B20" s="71" t="s">
        <v>25</v>
      </c>
      <c r="C20" s="72">
        <f>F20+H20+J20+L20</f>
        <v>450000</v>
      </c>
      <c r="D20" s="73">
        <f>C20-E20</f>
        <v>0</v>
      </c>
      <c r="E20" s="73">
        <v>450000</v>
      </c>
      <c r="F20" s="74">
        <f>Sentralt!B39</f>
        <v>246000</v>
      </c>
      <c r="G20" s="89"/>
      <c r="H20" s="74">
        <f>Program!H20</f>
        <v>204000</v>
      </c>
      <c r="I20" s="75"/>
      <c r="J20" s="74"/>
      <c r="K20" s="75"/>
      <c r="L20" s="74"/>
      <c r="M20" s="76"/>
    </row>
    <row r="21" spans="1:13" ht="12.75">
      <c r="A21" s="70">
        <v>4610</v>
      </c>
      <c r="B21" s="83" t="s">
        <v>112</v>
      </c>
      <c r="C21" s="72">
        <f>F21+H21+J21+L21</f>
        <v>925400</v>
      </c>
      <c r="D21" s="73">
        <f>C21-E21</f>
        <v>0</v>
      </c>
      <c r="E21" s="73">
        <v>925400</v>
      </c>
      <c r="F21" s="74"/>
      <c r="G21" s="75"/>
      <c r="H21" s="74">
        <f>Program!H22+Program!H23+Program!H24+Program!H25</f>
        <v>925400</v>
      </c>
      <c r="I21" s="75"/>
      <c r="J21" s="74"/>
      <c r="K21" s="75"/>
      <c r="L21" s="74"/>
      <c r="M21" s="76"/>
    </row>
    <row r="22" spans="1:13" ht="12.75">
      <c r="A22" s="70">
        <v>4615</v>
      </c>
      <c r="B22" s="71" t="s">
        <v>27</v>
      </c>
      <c r="C22" s="72">
        <f>F22+H22+J22+L22</f>
        <v>0</v>
      </c>
      <c r="D22" s="73">
        <f>C22-E22</f>
        <v>0</v>
      </c>
      <c r="E22" s="73"/>
      <c r="F22" s="74"/>
      <c r="G22" s="75"/>
      <c r="H22" s="74"/>
      <c r="I22" s="75"/>
      <c r="J22" s="74"/>
      <c r="K22" s="75"/>
      <c r="L22" s="74"/>
      <c r="M22" s="76"/>
    </row>
    <row r="23" spans="1:13" ht="12.75">
      <c r="A23" s="70">
        <v>4922</v>
      </c>
      <c r="B23" s="90" t="s">
        <v>113</v>
      </c>
      <c r="C23" s="72">
        <f>F23+H23+J23+L23</f>
        <v>555899.6330028002</v>
      </c>
      <c r="D23" s="73">
        <f>C23-E23</f>
        <v>2842.6330028001685</v>
      </c>
      <c r="E23" s="73">
        <v>553057</v>
      </c>
      <c r="F23" s="74">
        <f>Sentralt!B42+Sentralt!B72+Sentralt!B73</f>
        <v>31800</v>
      </c>
      <c r="G23" s="89"/>
      <c r="H23" s="74">
        <f>Program!H40+Program!H42+Program!H41</f>
        <v>524099.63300280017</v>
      </c>
      <c r="I23" s="75"/>
      <c r="J23" s="74"/>
      <c r="K23" s="75"/>
      <c r="L23" s="74"/>
      <c r="M23" s="76"/>
    </row>
    <row r="24" spans="1:13" ht="12.75">
      <c r="A24" s="53">
        <v>4927</v>
      </c>
      <c r="B24" s="71" t="s">
        <v>18</v>
      </c>
      <c r="C24" s="72">
        <f>F24+H24+J24+L24</f>
        <v>475000.00000000006</v>
      </c>
      <c r="D24" s="73">
        <f>C24-E24</f>
        <v>0</v>
      </c>
      <c r="E24" s="73">
        <v>475000</v>
      </c>
      <c r="F24" s="74">
        <f>Sentralt!B41</f>
        <v>475000.00000000006</v>
      </c>
      <c r="G24" s="89"/>
      <c r="H24" s="74"/>
      <c r="I24" s="75"/>
      <c r="J24" s="74"/>
      <c r="K24" s="75"/>
      <c r="L24" s="74"/>
      <c r="M24" s="76"/>
    </row>
    <row r="25" spans="1:13" ht="12.75">
      <c r="A25" s="53">
        <v>4928</v>
      </c>
      <c r="B25" s="71" t="s">
        <v>28</v>
      </c>
      <c r="C25" s="72">
        <f>F25+H25+J25+L25</f>
        <v>325000</v>
      </c>
      <c r="D25" s="73">
        <f>C25-E25</f>
        <v>0</v>
      </c>
      <c r="E25" s="73">
        <v>325000</v>
      </c>
      <c r="F25" s="74">
        <f>Sentralt!B44</f>
        <v>325000</v>
      </c>
      <c r="G25" s="89"/>
      <c r="H25" s="74"/>
      <c r="I25" s="75"/>
      <c r="J25" s="74"/>
      <c r="K25" s="75"/>
      <c r="L25" s="74"/>
      <c r="M25" s="76"/>
    </row>
    <row r="26" spans="1:13" ht="12.75">
      <c r="A26" s="53">
        <v>4929</v>
      </c>
      <c r="B26" s="71" t="s">
        <v>114</v>
      </c>
      <c r="C26" s="72">
        <f>F26+H26+J26+L26</f>
        <v>160000</v>
      </c>
      <c r="D26" s="73">
        <f>C26-E26</f>
        <v>0</v>
      </c>
      <c r="E26" s="73">
        <v>160000</v>
      </c>
      <c r="F26" s="74">
        <f>Sentralt!B45</f>
        <v>160000</v>
      </c>
      <c r="G26" s="89"/>
      <c r="H26" s="74"/>
      <c r="I26" s="75"/>
      <c r="J26" s="74"/>
      <c r="K26" s="75"/>
      <c r="L26" s="74"/>
      <c r="M26" s="76"/>
    </row>
    <row r="27" spans="1:13" ht="12.75">
      <c r="A27" s="53">
        <v>4930</v>
      </c>
      <c r="B27" s="71" t="s">
        <v>30</v>
      </c>
      <c r="C27" s="72">
        <f>F27+H27+J27+L27</f>
        <v>140000</v>
      </c>
      <c r="D27" s="73">
        <f>C27-E27</f>
        <v>0</v>
      </c>
      <c r="E27" s="73">
        <v>140000</v>
      </c>
      <c r="F27" s="74"/>
      <c r="G27" s="89"/>
      <c r="H27" s="74"/>
      <c r="I27" s="75"/>
      <c r="J27" s="74"/>
      <c r="K27" s="75"/>
      <c r="L27" s="74">
        <f>Prosjekter!F6</f>
        <v>140000</v>
      </c>
      <c r="M27" s="76"/>
    </row>
    <row r="28" spans="2:13" ht="12.75">
      <c r="B28" s="91" t="s">
        <v>31</v>
      </c>
      <c r="C28" s="80">
        <f>SUM(C20:C27)</f>
        <v>3031299.6330028</v>
      </c>
      <c r="D28" s="80">
        <f>SUM(D20:D27)</f>
        <v>2842.6330028001685</v>
      </c>
      <c r="E28" s="80">
        <f>SUM(E20:E27)</f>
        <v>3028457</v>
      </c>
      <c r="F28" s="80">
        <f>SUM(F20:F27)</f>
        <v>1237800</v>
      </c>
      <c r="G28" s="80">
        <f>SUM(G20:G27)</f>
        <v>0</v>
      </c>
      <c r="H28" s="80">
        <f>SUM(H20:H27)</f>
        <v>1653499.6330028002</v>
      </c>
      <c r="I28" s="80">
        <f>SUM(I20:I27)</f>
        <v>0</v>
      </c>
      <c r="J28" s="80">
        <f>SUM(J20:J27)</f>
        <v>0</v>
      </c>
      <c r="K28" s="80">
        <f>SUM(K20:K27)</f>
        <v>0</v>
      </c>
      <c r="L28" s="80">
        <f>SUM(L20:L27)</f>
        <v>140000</v>
      </c>
      <c r="M28" s="80">
        <f>SUM(M20:M27)</f>
        <v>0</v>
      </c>
    </row>
    <row r="29" spans="1:13" ht="12.75">
      <c r="A29" s="53">
        <v>5000</v>
      </c>
      <c r="B29" s="71" t="s">
        <v>32</v>
      </c>
      <c r="C29" s="72">
        <f>F29+H29+J29+L29</f>
        <v>0</v>
      </c>
      <c r="D29" s="73">
        <f>C29-E29</f>
        <v>0</v>
      </c>
      <c r="E29" s="73">
        <f>Budsjettanalyse!F30</f>
        <v>0</v>
      </c>
      <c r="F29" s="74"/>
      <c r="G29" s="89"/>
      <c r="H29" s="74"/>
      <c r="I29" s="75"/>
      <c r="J29" s="74"/>
      <c r="K29" s="75"/>
      <c r="L29" s="74"/>
      <c r="M29" s="76"/>
    </row>
    <row r="30" spans="1:13" ht="12.75">
      <c r="A30" s="53">
        <v>5001</v>
      </c>
      <c r="B30" s="71" t="s">
        <v>33</v>
      </c>
      <c r="C30" s="72">
        <f>F30+H30+J30+L30</f>
        <v>0</v>
      </c>
      <c r="D30" s="73">
        <f>C30-E30</f>
        <v>0</v>
      </c>
      <c r="E30" s="73">
        <f>Budsjettanalyse!F31</f>
        <v>0</v>
      </c>
      <c r="F30" s="74"/>
      <c r="G30" s="89"/>
      <c r="H30" s="74"/>
      <c r="I30" s="75"/>
      <c r="J30" s="74"/>
      <c r="K30" s="75"/>
      <c r="L30" s="74"/>
      <c r="M30" s="76"/>
    </row>
    <row r="31" spans="1:14" ht="12.75">
      <c r="A31" s="53">
        <v>5002</v>
      </c>
      <c r="B31" s="71" t="s">
        <v>115</v>
      </c>
      <c r="C31" s="72">
        <f>F31+H31+J31+L31</f>
        <v>280000</v>
      </c>
      <c r="D31" s="73">
        <f>C31-E31</f>
        <v>0</v>
      </c>
      <c r="E31" s="73">
        <v>280000</v>
      </c>
      <c r="F31" s="74">
        <f>Sentralt!G82</f>
        <v>140000</v>
      </c>
      <c r="G31" s="89"/>
      <c r="H31" s="74"/>
      <c r="I31" s="75"/>
      <c r="J31" s="74"/>
      <c r="K31" s="75"/>
      <c r="L31" s="74">
        <f>Prosjekter!E8+Prosjekter!E9</f>
        <v>140000</v>
      </c>
      <c r="M31" s="76"/>
      <c r="N31" s="76"/>
    </row>
    <row r="32" spans="1:13" ht="12.75">
      <c r="A32" s="53">
        <v>5010</v>
      </c>
      <c r="B32" s="71" t="s">
        <v>35</v>
      </c>
      <c r="C32" s="72">
        <f>F32+H32+J32+L32</f>
        <v>595000</v>
      </c>
      <c r="D32" s="73">
        <f>C32-E32</f>
        <v>43000</v>
      </c>
      <c r="E32" s="73">
        <v>552000</v>
      </c>
      <c r="F32" s="74">
        <f>Sentralt!B55+Sentralt!B68</f>
        <v>595000</v>
      </c>
      <c r="G32" s="89"/>
      <c r="H32" s="74"/>
      <c r="I32" s="75"/>
      <c r="J32" s="74"/>
      <c r="K32" s="75"/>
      <c r="L32" s="74"/>
      <c r="M32" s="76"/>
    </row>
    <row r="33" spans="1:13" ht="12.75">
      <c r="A33" s="70">
        <v>5190</v>
      </c>
      <c r="B33" s="71" t="s">
        <v>36</v>
      </c>
      <c r="C33" s="72">
        <f>F33+H33+J33+L33</f>
        <v>60690</v>
      </c>
      <c r="D33" s="73">
        <f>C33-E33</f>
        <v>4386</v>
      </c>
      <c r="E33" s="73">
        <v>56304</v>
      </c>
      <c r="F33" s="74">
        <f>Sentralt!B57</f>
        <v>60690</v>
      </c>
      <c r="G33" s="89"/>
      <c r="H33" s="74"/>
      <c r="I33" s="75"/>
      <c r="J33" s="74"/>
      <c r="K33" s="75"/>
      <c r="L33" s="74"/>
      <c r="M33" s="76"/>
    </row>
    <row r="34" spans="1:13" ht="12.75">
      <c r="A34" s="70">
        <v>5240</v>
      </c>
      <c r="B34" s="92" t="s">
        <v>116</v>
      </c>
      <c r="C34" s="72">
        <f>F34+H34+J34+L34</f>
        <v>0</v>
      </c>
      <c r="D34" s="73">
        <f>C34-E34</f>
        <v>0</v>
      </c>
      <c r="E34" s="73">
        <f>Budsjettanalyse!F35</f>
        <v>0</v>
      </c>
      <c r="F34" s="74"/>
      <c r="G34" s="75"/>
      <c r="H34" s="74"/>
      <c r="I34" s="75"/>
      <c r="J34" s="74"/>
      <c r="K34" s="75"/>
      <c r="L34" s="74"/>
      <c r="M34" s="76"/>
    </row>
    <row r="35" spans="1:13" ht="12.75">
      <c r="A35" s="70">
        <v>5280</v>
      </c>
      <c r="B35" s="71" t="s">
        <v>38</v>
      </c>
      <c r="C35" s="72">
        <f>F35+H35+J35+L35</f>
        <v>0</v>
      </c>
      <c r="D35" s="73">
        <f>C35-E35</f>
        <v>0</v>
      </c>
      <c r="E35" s="73">
        <f>Budsjettanalyse!F36</f>
        <v>0</v>
      </c>
      <c r="F35" s="74"/>
      <c r="G35" s="75"/>
      <c r="H35" s="74"/>
      <c r="I35" s="75"/>
      <c r="J35" s="74"/>
      <c r="K35" s="75"/>
      <c r="L35" s="74"/>
      <c r="M35" s="76"/>
    </row>
    <row r="36" spans="1:13" ht="12.75">
      <c r="A36" s="70">
        <v>5410</v>
      </c>
      <c r="B36" s="71" t="s">
        <v>39</v>
      </c>
      <c r="C36" s="72">
        <f>F36+H36+J36+L36</f>
        <v>85572.90000000001</v>
      </c>
      <c r="D36" s="73">
        <f>C36-E36</f>
        <v>4483.900000000009</v>
      </c>
      <c r="E36" s="73">
        <v>81089</v>
      </c>
      <c r="F36" s="74">
        <f>Sentralt!B58</f>
        <v>85572.90000000001</v>
      </c>
      <c r="G36" s="89"/>
      <c r="H36" s="74"/>
      <c r="I36" s="75"/>
      <c r="J36" s="74"/>
      <c r="K36" s="75"/>
      <c r="L36" s="74"/>
      <c r="M36" s="76"/>
    </row>
    <row r="37" spans="1:13" ht="12.75">
      <c r="A37" s="70">
        <v>5411</v>
      </c>
      <c r="B37" s="71" t="s">
        <v>117</v>
      </c>
      <c r="C37" s="72">
        <f>F37+H37+J37+L37</f>
        <v>8557.29</v>
      </c>
      <c r="D37" s="73">
        <f>C37-E37</f>
        <v>8557.29</v>
      </c>
      <c r="E37" s="73"/>
      <c r="F37" s="74">
        <f>Sentralt!B57*0.141</f>
        <v>8557.29</v>
      </c>
      <c r="G37" s="89"/>
      <c r="H37" s="74"/>
      <c r="I37" s="75"/>
      <c r="J37" s="74"/>
      <c r="K37" s="75"/>
      <c r="L37" s="74"/>
      <c r="M37" s="76"/>
    </row>
    <row r="38" spans="1:13" ht="12.75">
      <c r="A38" s="70">
        <v>5950</v>
      </c>
      <c r="B38" s="71" t="s">
        <v>41</v>
      </c>
      <c r="C38" s="72">
        <f>F38+H38+J38+L38</f>
        <v>2000</v>
      </c>
      <c r="D38" s="73">
        <f>C38-E38</f>
        <v>0</v>
      </c>
      <c r="E38" s="73">
        <v>2000</v>
      </c>
      <c r="F38" s="74">
        <f>Sentralt!B69</f>
        <v>2000</v>
      </c>
      <c r="G38" s="89"/>
      <c r="H38" s="74"/>
      <c r="I38" s="75"/>
      <c r="J38" s="74"/>
      <c r="K38" s="75"/>
      <c r="L38" s="74"/>
      <c r="M38" s="76"/>
    </row>
    <row r="39" spans="1:13" ht="12.75">
      <c r="A39" s="70">
        <v>5955</v>
      </c>
      <c r="B39" s="71" t="s">
        <v>42</v>
      </c>
      <c r="C39" s="72">
        <f>F39+H39+J39+L39</f>
        <v>11900</v>
      </c>
      <c r="D39" s="73">
        <f>C39-E39</f>
        <v>-11200</v>
      </c>
      <c r="E39" s="73">
        <v>23100</v>
      </c>
      <c r="F39" s="74">
        <f>Sentralt!B56</f>
        <v>11900</v>
      </c>
      <c r="G39" s="89"/>
      <c r="H39" s="74"/>
      <c r="I39" s="75"/>
      <c r="J39" s="74"/>
      <c r="K39" s="75"/>
      <c r="L39" s="74"/>
      <c r="M39" s="76"/>
    </row>
    <row r="40" spans="1:13" ht="12.75">
      <c r="A40" s="70">
        <v>5999</v>
      </c>
      <c r="B40" s="71" t="s">
        <v>43</v>
      </c>
      <c r="C40" s="72">
        <f>F40+H40+J40+L40</f>
        <v>0</v>
      </c>
      <c r="D40" s="73">
        <f>C40-E40</f>
        <v>0</v>
      </c>
      <c r="E40" s="73">
        <f>Budsjettanalyse!F41</f>
        <v>0</v>
      </c>
      <c r="F40" s="74"/>
      <c r="G40" s="75"/>
      <c r="H40" s="74"/>
      <c r="I40" s="75"/>
      <c r="J40" s="74"/>
      <c r="K40" s="75"/>
      <c r="L40" s="74"/>
      <c r="M40" s="76"/>
    </row>
    <row r="41" spans="1:13" ht="12.75">
      <c r="A41" s="70"/>
      <c r="B41" s="91" t="s">
        <v>118</v>
      </c>
      <c r="C41" s="80">
        <f>SUM(C29:C40)</f>
        <v>1043720.1900000001</v>
      </c>
      <c r="D41" s="80">
        <f>SUM(D29:D40)</f>
        <v>49227.19000000001</v>
      </c>
      <c r="E41" s="80">
        <f>SUM(E29:E40)</f>
        <v>994493</v>
      </c>
      <c r="F41" s="80">
        <f>SUM(F29:F40)</f>
        <v>903720.1900000001</v>
      </c>
      <c r="G41" s="81"/>
      <c r="H41" s="80">
        <f>SUM(H29:H40)</f>
        <v>0</v>
      </c>
      <c r="I41" s="81"/>
      <c r="J41" s="80">
        <f>SUM(J29:J40)</f>
        <v>0</v>
      </c>
      <c r="K41" s="81"/>
      <c r="L41" s="80">
        <f>SUM(L29:L40)</f>
        <v>140000</v>
      </c>
      <c r="M41" s="82"/>
    </row>
    <row r="42" spans="1:13" ht="12.75">
      <c r="A42" s="53">
        <v>6300</v>
      </c>
      <c r="B42" s="92" t="s">
        <v>45</v>
      </c>
      <c r="C42" s="72">
        <f>F42+H42+J42+L42</f>
        <v>129400</v>
      </c>
      <c r="D42" s="73">
        <f>C42-E42</f>
        <v>7000</v>
      </c>
      <c r="E42" s="73">
        <v>122400</v>
      </c>
      <c r="F42" s="74">
        <f>Sentralt!B62</f>
        <v>129400</v>
      </c>
      <c r="G42" s="89"/>
      <c r="H42" s="74"/>
      <c r="I42" s="75"/>
      <c r="J42" s="74"/>
      <c r="K42" s="75"/>
      <c r="L42" s="74"/>
      <c r="M42" s="76"/>
    </row>
    <row r="43" spans="1:13" ht="12.75">
      <c r="A43" s="53">
        <v>6301</v>
      </c>
      <c r="B43" s="92" t="s">
        <v>46</v>
      </c>
      <c r="C43" s="72">
        <f>F43+H43+J43+L43</f>
        <v>14000</v>
      </c>
      <c r="D43" s="73">
        <f>C43-E43</f>
        <v>-120000</v>
      </c>
      <c r="E43" s="73">
        <v>134000</v>
      </c>
      <c r="F43" s="74">
        <f>Sentralt!B51+Sentralt!E23+Sentralt!E25</f>
        <v>14000</v>
      </c>
      <c r="G43" s="89"/>
      <c r="H43" s="74"/>
      <c r="I43" s="75"/>
      <c r="J43" s="74"/>
      <c r="K43" s="75"/>
      <c r="L43" s="74"/>
      <c r="M43" s="76"/>
    </row>
    <row r="44" spans="1:13" ht="12.75">
      <c r="A44" s="53">
        <v>6340</v>
      </c>
      <c r="B44" s="92" t="s">
        <v>47</v>
      </c>
      <c r="C44" s="72">
        <f>F44+H44+J44+L44</f>
        <v>0</v>
      </c>
      <c r="D44" s="73">
        <f>C44-E44</f>
        <v>0</v>
      </c>
      <c r="E44" s="73">
        <f>Budsjettanalyse!F46</f>
        <v>0</v>
      </c>
      <c r="F44" s="74"/>
      <c r="G44" s="75"/>
      <c r="H44" s="74"/>
      <c r="I44" s="75"/>
      <c r="J44" s="74"/>
      <c r="K44" s="75"/>
      <c r="L44" s="74"/>
      <c r="M44" s="76"/>
    </row>
    <row r="45" spans="1:13" ht="12.75">
      <c r="A45" s="70">
        <v>6430</v>
      </c>
      <c r="B45" s="92" t="s">
        <v>48</v>
      </c>
      <c r="C45" s="72">
        <f>F45+H45+J45+L45</f>
        <v>0</v>
      </c>
      <c r="D45" s="73">
        <f>C45-E45</f>
        <v>0</v>
      </c>
      <c r="E45" s="73"/>
      <c r="F45" s="74">
        <f>Sentralt!B64</f>
        <v>0</v>
      </c>
      <c r="G45" s="89"/>
      <c r="H45" s="74"/>
      <c r="I45" s="75"/>
      <c r="J45" s="74"/>
      <c r="K45" s="75"/>
      <c r="L45" s="74"/>
      <c r="M45" s="76"/>
    </row>
    <row r="46" spans="1:13" ht="12.75">
      <c r="A46" s="70">
        <v>6550</v>
      </c>
      <c r="B46" s="92" t="s">
        <v>49</v>
      </c>
      <c r="C46" s="72">
        <f>F46+H46+J46+L46</f>
        <v>5000</v>
      </c>
      <c r="D46" s="73">
        <f>C46-E46</f>
        <v>0</v>
      </c>
      <c r="E46" s="73">
        <v>5000</v>
      </c>
      <c r="F46" s="74">
        <f>Sentralt!B65</f>
        <v>5000</v>
      </c>
      <c r="G46" s="89"/>
      <c r="H46" s="74"/>
      <c r="I46" s="75"/>
      <c r="J46" s="74"/>
      <c r="K46" s="75"/>
      <c r="L46" s="74"/>
      <c r="M46" s="76"/>
    </row>
    <row r="47" spans="1:13" ht="12.75">
      <c r="A47" s="70">
        <v>6560</v>
      </c>
      <c r="B47" s="92" t="s">
        <v>50</v>
      </c>
      <c r="C47" s="72">
        <f>F47+H47+J47+L47</f>
        <v>0</v>
      </c>
      <c r="D47" s="73">
        <f>C47-E47</f>
        <v>0</v>
      </c>
      <c r="E47" s="73"/>
      <c r="F47" s="74"/>
      <c r="G47" s="89"/>
      <c r="H47" s="74"/>
      <c r="I47" s="75"/>
      <c r="J47" s="74"/>
      <c r="K47" s="75"/>
      <c r="L47" s="74"/>
      <c r="M47" s="76"/>
    </row>
    <row r="48" spans="1:13" ht="12.75">
      <c r="A48" s="70">
        <v>6700</v>
      </c>
      <c r="B48" s="92" t="s">
        <v>119</v>
      </c>
      <c r="C48" s="72">
        <f>F48+H48+J48+L48</f>
        <v>200000</v>
      </c>
      <c r="D48" s="73">
        <f>C48-E48</f>
        <v>25000</v>
      </c>
      <c r="E48" s="73">
        <v>175000</v>
      </c>
      <c r="F48" s="74">
        <f>Sentralt!B36</f>
        <v>200000</v>
      </c>
      <c r="G48" s="89"/>
      <c r="H48" s="74"/>
      <c r="I48" s="75"/>
      <c r="J48" s="74"/>
      <c r="K48" s="75"/>
      <c r="L48" s="74"/>
      <c r="M48" s="76"/>
    </row>
    <row r="49" spans="1:13" ht="12.75">
      <c r="A49" s="70">
        <v>6720</v>
      </c>
      <c r="B49" s="92" t="s">
        <v>120</v>
      </c>
      <c r="C49" s="72">
        <f>F49+H49+J49+L49</f>
        <v>0</v>
      </c>
      <c r="D49" s="73">
        <f>C49-E49</f>
        <v>0</v>
      </c>
      <c r="E49" s="73"/>
      <c r="F49" s="74"/>
      <c r="G49" s="89"/>
      <c r="H49" s="74"/>
      <c r="I49" s="75"/>
      <c r="J49" s="74"/>
      <c r="K49" s="75"/>
      <c r="L49" s="74"/>
      <c r="M49" s="76"/>
    </row>
    <row r="50" spans="1:13" ht="12.75">
      <c r="A50" s="70">
        <v>6800</v>
      </c>
      <c r="B50" s="92" t="s">
        <v>53</v>
      </c>
      <c r="C50" s="72">
        <f>F50+H50+J50+L50</f>
        <v>15000</v>
      </c>
      <c r="D50" s="73">
        <f>C50-E50</f>
        <v>0</v>
      </c>
      <c r="E50" s="73">
        <v>15000</v>
      </c>
      <c r="F50" s="74">
        <f>Sentralt!B60</f>
        <v>15000</v>
      </c>
      <c r="G50" s="89"/>
      <c r="H50" s="74"/>
      <c r="I50" s="75"/>
      <c r="J50" s="74"/>
      <c r="K50" s="75"/>
      <c r="L50" s="74"/>
      <c r="M50" s="76"/>
    </row>
    <row r="51" spans="1:13" ht="12.75">
      <c r="A51" s="70">
        <v>6810</v>
      </c>
      <c r="B51" s="92" t="s">
        <v>54</v>
      </c>
      <c r="C51" s="72">
        <f>F51+H51+J51+L51</f>
        <v>100000</v>
      </c>
      <c r="D51" s="73">
        <f>C51-E51</f>
        <v>0</v>
      </c>
      <c r="E51" s="73">
        <v>100000</v>
      </c>
      <c r="F51" s="74">
        <f>Sentralt!B35+Sentralt!B38</f>
        <v>100000</v>
      </c>
      <c r="G51" s="89"/>
      <c r="H51" s="74"/>
      <c r="I51" s="75"/>
      <c r="J51" s="74"/>
      <c r="K51" s="75"/>
      <c r="L51" s="74"/>
      <c r="M51" s="76"/>
    </row>
    <row r="52" spans="1:13" ht="12.75">
      <c r="A52" s="70">
        <v>6820</v>
      </c>
      <c r="B52" s="92" t="s">
        <v>55</v>
      </c>
      <c r="C52" s="72">
        <f>F52+H52+J52+L52</f>
        <v>140000</v>
      </c>
      <c r="D52" s="73">
        <f>C52-E52</f>
        <v>0</v>
      </c>
      <c r="E52" s="73">
        <v>140000</v>
      </c>
      <c r="F52" s="74">
        <f>Sentralt!B46+Sentralt!B47+Sentralt!B48+Sentralt!B63+Sentralt!F79</f>
        <v>140000</v>
      </c>
      <c r="G52" s="89"/>
      <c r="H52" s="74"/>
      <c r="I52" s="75"/>
      <c r="J52" s="74"/>
      <c r="K52" s="75"/>
      <c r="L52" s="74"/>
      <c r="M52" s="76"/>
    </row>
    <row r="53" spans="1:13" ht="12.75">
      <c r="A53" s="70">
        <v>6840</v>
      </c>
      <c r="B53" s="92" t="s">
        <v>121</v>
      </c>
      <c r="C53" s="72">
        <f>F53+H53+J53+L53</f>
        <v>0</v>
      </c>
      <c r="D53" s="73">
        <f>C53-E53</f>
        <v>0</v>
      </c>
      <c r="E53" s="73">
        <f>Budsjettanalyse!F55</f>
        <v>0</v>
      </c>
      <c r="F53" s="74"/>
      <c r="G53" s="89"/>
      <c r="H53" s="74"/>
      <c r="I53" s="75"/>
      <c r="J53" s="74"/>
      <c r="K53" s="75"/>
      <c r="L53" s="74"/>
      <c r="M53" s="76"/>
    </row>
    <row r="54" spans="1:13" ht="12.75">
      <c r="A54" s="70">
        <v>6860</v>
      </c>
      <c r="B54" s="92" t="s">
        <v>122</v>
      </c>
      <c r="C54" s="72">
        <f>F54+H54+J54+L54</f>
        <v>0</v>
      </c>
      <c r="D54" s="73">
        <f>C54-E54</f>
        <v>0</v>
      </c>
      <c r="E54" s="73"/>
      <c r="F54" s="74"/>
      <c r="G54" s="75"/>
      <c r="H54" s="74"/>
      <c r="I54" s="75"/>
      <c r="J54" s="74"/>
      <c r="K54" s="75"/>
      <c r="L54" s="74"/>
      <c r="M54" s="76"/>
    </row>
    <row r="55" spans="1:13" ht="12.75">
      <c r="A55" s="53">
        <v>6868</v>
      </c>
      <c r="B55" s="92" t="s">
        <v>58</v>
      </c>
      <c r="C55" s="72">
        <f>F55+H55+J55+L55</f>
        <v>301580</v>
      </c>
      <c r="D55" s="73">
        <f>C55-E55</f>
        <v>66630</v>
      </c>
      <c r="E55" s="73">
        <v>234950</v>
      </c>
      <c r="F55" s="74">
        <f>Sentralt!B59</f>
        <v>10000</v>
      </c>
      <c r="G55" s="89"/>
      <c r="H55" s="74">
        <f>Program!H27+Program!H29+Program!H31+Program!H33+Program!H35+Program!H37+(Program!H38*0.33)+Program!H39</f>
        <v>291580</v>
      </c>
      <c r="I55" s="75"/>
      <c r="J55" s="74"/>
      <c r="K55" s="75"/>
      <c r="L55" s="74"/>
      <c r="M55" s="76"/>
    </row>
    <row r="56" spans="1:13" ht="12.75">
      <c r="A56" s="53">
        <v>6900</v>
      </c>
      <c r="B56" s="92" t="s">
        <v>59</v>
      </c>
      <c r="C56" s="72">
        <f>F56+H56+J56+L56</f>
        <v>3500</v>
      </c>
      <c r="D56" s="73">
        <f>C56-E56</f>
        <v>0</v>
      </c>
      <c r="E56" s="73">
        <v>3500</v>
      </c>
      <c r="F56" s="74">
        <f>Sentralt!B67</f>
        <v>3500</v>
      </c>
      <c r="G56" s="89"/>
      <c r="H56" s="74"/>
      <c r="I56" s="75"/>
      <c r="J56" s="74"/>
      <c r="K56" s="75"/>
      <c r="L56" s="74"/>
      <c r="M56" s="76"/>
    </row>
    <row r="57" spans="1:13" ht="12.75">
      <c r="A57" s="70">
        <v>6940</v>
      </c>
      <c r="B57" s="92" t="s">
        <v>60</v>
      </c>
      <c r="C57" s="72">
        <f>F57+H57+J57+L57</f>
        <v>90000</v>
      </c>
      <c r="D57" s="73">
        <f>C57-E57</f>
        <v>0</v>
      </c>
      <c r="E57" s="73">
        <v>90000</v>
      </c>
      <c r="F57" s="74">
        <f>Sentralt!B66</f>
        <v>90000</v>
      </c>
      <c r="G57" s="89"/>
      <c r="H57" s="74"/>
      <c r="I57" s="75"/>
      <c r="J57" s="74"/>
      <c r="K57" s="75"/>
      <c r="L57" s="74"/>
      <c r="M57" s="76"/>
    </row>
    <row r="58" spans="1:13" ht="12.75">
      <c r="A58" s="70">
        <v>6960</v>
      </c>
      <c r="B58" s="92" t="s">
        <v>61</v>
      </c>
      <c r="C58" s="72">
        <f>F58+H58+J58+L58</f>
        <v>20000</v>
      </c>
      <c r="D58" s="73">
        <f>C58-E58</f>
        <v>10000</v>
      </c>
      <c r="E58" s="73">
        <v>10000</v>
      </c>
      <c r="F58" s="74">
        <f>Sentralt!B70+Sentralt!B71</f>
        <v>20000</v>
      </c>
      <c r="G58" s="89"/>
      <c r="H58" s="74"/>
      <c r="I58" s="75"/>
      <c r="J58" s="74"/>
      <c r="K58" s="75"/>
      <c r="L58" s="74"/>
      <c r="M58" s="76"/>
    </row>
    <row r="59" spans="1:13" ht="12.75">
      <c r="A59" s="70">
        <v>7000</v>
      </c>
      <c r="B59" s="92" t="s">
        <v>62</v>
      </c>
      <c r="C59" s="72">
        <f>F59+H59+J59+L59</f>
        <v>2000</v>
      </c>
      <c r="D59" s="73">
        <f>C59-E59</f>
        <v>0</v>
      </c>
      <c r="E59" s="73">
        <v>2000</v>
      </c>
      <c r="F59" s="74">
        <f>Sentralt!B49</f>
        <v>2000</v>
      </c>
      <c r="G59" s="89"/>
      <c r="H59" s="74"/>
      <c r="I59" s="75"/>
      <c r="J59" s="74"/>
      <c r="K59" s="75"/>
      <c r="L59" s="74"/>
      <c r="M59" s="76"/>
    </row>
    <row r="60" spans="1:13" ht="12.75">
      <c r="A60" s="70">
        <v>7040</v>
      </c>
      <c r="B60" s="92" t="s">
        <v>63</v>
      </c>
      <c r="C60" s="72">
        <f>F60+H60+J60+L60</f>
        <v>7500</v>
      </c>
      <c r="D60" s="73">
        <f>C60-E60</f>
        <v>0</v>
      </c>
      <c r="E60" s="73">
        <v>7500</v>
      </c>
      <c r="F60" s="74">
        <f>Sentralt!B61</f>
        <v>7500</v>
      </c>
      <c r="G60" s="89"/>
      <c r="H60" s="74"/>
      <c r="I60" s="75"/>
      <c r="J60" s="74"/>
      <c r="K60" s="75"/>
      <c r="L60" s="74"/>
      <c r="M60" s="76"/>
    </row>
    <row r="61" spans="1:13" ht="12.75">
      <c r="A61" s="70">
        <v>7105</v>
      </c>
      <c r="B61" s="92" t="s">
        <v>64</v>
      </c>
      <c r="C61" s="72">
        <f>F61+H61+J61+L61</f>
        <v>0</v>
      </c>
      <c r="D61" s="73">
        <f>C61-E61</f>
        <v>0</v>
      </c>
      <c r="E61" s="73"/>
      <c r="F61" s="74"/>
      <c r="G61" s="75"/>
      <c r="H61" s="74"/>
      <c r="I61" s="75"/>
      <c r="J61" s="74"/>
      <c r="K61" s="75"/>
      <c r="L61" s="74"/>
      <c r="M61" s="76"/>
    </row>
    <row r="62" spans="1:13" ht="12.75">
      <c r="A62" s="70">
        <v>7140</v>
      </c>
      <c r="B62" s="92" t="s">
        <v>123</v>
      </c>
      <c r="C62" s="72">
        <f>F62+H62+J62+L62</f>
        <v>518038.05</v>
      </c>
      <c r="D62" s="73">
        <f>C62-E62</f>
        <v>-4269.950000000012</v>
      </c>
      <c r="E62" s="73">
        <v>522308</v>
      </c>
      <c r="F62" s="74">
        <f>Sentralt!B32+Sentralt!C32+Sentralt!B83+Sentralt!C83+Sentralt!B88+Sentralt!C88+Sentralt!F80</f>
        <v>132750</v>
      </c>
      <c r="G62" s="89"/>
      <c r="H62" s="74">
        <f>Program!H26+Program!H28+Program!H30+Program!H32+Program!H34+Program!H36+(Program!H38*0.67)</f>
        <v>275788.05</v>
      </c>
      <c r="I62" s="75"/>
      <c r="J62" s="74">
        <f>Komiteer!M3+Komiteer!M4+Komiteer!M5+Komiteer!M8+Komiteer!M9+Komiteer!M10+Komiteer!M11+Komiteer!M12+Komiteer!M13+Komiteer!M14+Komiteer!M15+Komiteer!M16</f>
        <v>109500</v>
      </c>
      <c r="K62" s="75"/>
      <c r="L62" s="74"/>
      <c r="M62" s="76"/>
    </row>
    <row r="63" spans="1:13" ht="12.75">
      <c r="A63" s="70">
        <v>7145</v>
      </c>
      <c r="B63" s="92" t="s">
        <v>66</v>
      </c>
      <c r="C63" s="72">
        <f>F63+H63+J63+L63</f>
        <v>324200</v>
      </c>
      <c r="D63" s="73">
        <f>C63-E63</f>
        <v>20000</v>
      </c>
      <c r="E63" s="73">
        <v>304200</v>
      </c>
      <c r="F63" s="74">
        <f>Sentralt!D32+Sentralt!F32+Sentralt!D83+Sentralt!D88</f>
        <v>324200</v>
      </c>
      <c r="G63" s="89"/>
      <c r="H63" s="74"/>
      <c r="I63" s="75"/>
      <c r="J63" s="74"/>
      <c r="K63" s="75"/>
      <c r="L63" s="74"/>
      <c r="M63" s="76"/>
    </row>
    <row r="64" spans="1:13" ht="12.75">
      <c r="A64" s="70">
        <v>7360</v>
      </c>
      <c r="B64" s="92" t="s">
        <v>124</v>
      </c>
      <c r="C64" s="72">
        <f>F64+H64+J64+L64</f>
        <v>0</v>
      </c>
      <c r="D64" s="73">
        <f>C64-E64</f>
        <v>0</v>
      </c>
      <c r="E64" s="73">
        <f>Budsjettanalyse!F66</f>
        <v>0</v>
      </c>
      <c r="F64" s="74"/>
      <c r="G64" s="75"/>
      <c r="H64" s="74"/>
      <c r="I64" s="75"/>
      <c r="J64" s="74"/>
      <c r="K64" s="75"/>
      <c r="L64" s="74"/>
      <c r="M64" s="76"/>
    </row>
    <row r="65" spans="1:13" ht="12.75">
      <c r="A65" s="70">
        <v>7600</v>
      </c>
      <c r="B65" s="92" t="s">
        <v>125</v>
      </c>
      <c r="C65" s="72">
        <f>F65+H65+J65+L65</f>
        <v>0</v>
      </c>
      <c r="D65" s="73">
        <f>C65-E65</f>
        <v>0</v>
      </c>
      <c r="E65" s="73">
        <f>Budsjettanalyse!F67</f>
        <v>0</v>
      </c>
      <c r="F65" s="74"/>
      <c r="G65" s="89"/>
      <c r="H65" s="74"/>
      <c r="I65" s="75"/>
      <c r="J65" s="74"/>
      <c r="K65" s="75"/>
      <c r="L65" s="74"/>
      <c r="M65" s="76"/>
    </row>
    <row r="66" spans="1:13" ht="12.75">
      <c r="A66" s="70">
        <v>7601</v>
      </c>
      <c r="B66" s="92" t="s">
        <v>69</v>
      </c>
      <c r="C66" s="72">
        <f>F66+H66+J66+L66</f>
        <v>16000</v>
      </c>
      <c r="D66" s="73">
        <f>C66-E66</f>
        <v>0</v>
      </c>
      <c r="E66" s="73">
        <v>16000</v>
      </c>
      <c r="F66" s="74">
        <f>Sentralt!B37</f>
        <v>16000</v>
      </c>
      <c r="G66" s="89"/>
      <c r="H66" s="74"/>
      <c r="I66" s="75"/>
      <c r="J66" s="74"/>
      <c r="K66" s="75"/>
      <c r="L66" s="74"/>
      <c r="M66" s="76"/>
    </row>
    <row r="67" spans="1:17" ht="12.75">
      <c r="A67" s="70">
        <v>7610</v>
      </c>
      <c r="B67" s="92" t="s">
        <v>70</v>
      </c>
      <c r="C67" s="72">
        <f>F67+H67+J67+L67</f>
        <v>661000</v>
      </c>
      <c r="D67" s="73">
        <f>C67-E67</f>
        <v>0</v>
      </c>
      <c r="E67" s="73">
        <v>661000</v>
      </c>
      <c r="F67" s="74"/>
      <c r="G67" s="89"/>
      <c r="H67" s="74"/>
      <c r="I67" s="75"/>
      <c r="J67" s="74">
        <f>Komiteer!M6+Komiteer!M7</f>
        <v>11000</v>
      </c>
      <c r="K67" s="75"/>
      <c r="L67" s="74">
        <f>(Prosjekter!F13-Prosjekter!F9-Prosjekter!F8-Prosjekter!F6)</f>
        <v>650000</v>
      </c>
      <c r="M67" s="76"/>
      <c r="Q67" s="93"/>
    </row>
    <row r="68" spans="1:13" ht="12.75">
      <c r="A68" s="70">
        <v>7612</v>
      </c>
      <c r="B68" s="92" t="s">
        <v>71</v>
      </c>
      <c r="C68" s="72">
        <f>F68+H68+J68+L68</f>
        <v>0</v>
      </c>
      <c r="D68" s="73">
        <f>C68-E68</f>
        <v>0</v>
      </c>
      <c r="E68" s="73">
        <f>Budsjettanalyse!F70</f>
        <v>0</v>
      </c>
      <c r="F68" s="74"/>
      <c r="G68" s="89"/>
      <c r="H68" s="74"/>
      <c r="I68" s="75"/>
      <c r="J68" s="74"/>
      <c r="K68" s="75"/>
      <c r="L68" s="74"/>
      <c r="M68" s="76"/>
    </row>
    <row r="69" spans="1:13" ht="12.75">
      <c r="A69" s="70">
        <v>7620</v>
      </c>
      <c r="B69" s="92" t="s">
        <v>72</v>
      </c>
      <c r="C69" s="72">
        <f>F69+H69+J69+L69</f>
        <v>16000</v>
      </c>
      <c r="D69" s="73">
        <f>C69-E69</f>
        <v>0</v>
      </c>
      <c r="E69" s="73">
        <v>16000</v>
      </c>
      <c r="F69" s="74">
        <f>Sentralt!B40</f>
        <v>16000</v>
      </c>
      <c r="G69" s="75"/>
      <c r="H69" s="74"/>
      <c r="I69" s="75"/>
      <c r="J69" s="74"/>
      <c r="K69" s="75"/>
      <c r="L69" s="74"/>
      <c r="M69" s="76"/>
    </row>
    <row r="70" spans="1:13" ht="12.75">
      <c r="A70" s="70">
        <v>7650</v>
      </c>
      <c r="B70" s="92" t="s">
        <v>73</v>
      </c>
      <c r="C70" s="72">
        <f>F70+H70+J70+L70</f>
        <v>0</v>
      </c>
      <c r="D70" s="73">
        <f>C70-E70</f>
        <v>0</v>
      </c>
      <c r="E70" s="73">
        <f>Budsjettanalyse!F72</f>
        <v>0</v>
      </c>
      <c r="F70" s="74"/>
      <c r="G70" s="75"/>
      <c r="H70" s="74"/>
      <c r="I70" s="75"/>
      <c r="J70" s="74"/>
      <c r="K70" s="75"/>
      <c r="L70" s="74"/>
      <c r="M70" s="76"/>
    </row>
    <row r="71" spans="1:13" ht="12.75">
      <c r="A71" s="70">
        <v>7770</v>
      </c>
      <c r="B71" s="92" t="s">
        <v>74</v>
      </c>
      <c r="C71" s="72">
        <f>F71+H71+J71+L71</f>
        <v>15000</v>
      </c>
      <c r="D71" s="73">
        <f>C71-E71</f>
        <v>0</v>
      </c>
      <c r="E71" s="73">
        <v>15000</v>
      </c>
      <c r="F71" s="74">
        <f>Sentralt!B50</f>
        <v>15000</v>
      </c>
      <c r="G71" s="75"/>
      <c r="H71" s="74"/>
      <c r="I71" s="75"/>
      <c r="J71" s="74"/>
      <c r="K71" s="75"/>
      <c r="L71" s="74"/>
      <c r="M71" s="76"/>
    </row>
    <row r="72" spans="1:13" ht="12.75">
      <c r="A72" s="70">
        <v>7801</v>
      </c>
      <c r="B72" s="92" t="s">
        <v>126</v>
      </c>
      <c r="C72" s="72">
        <f>F72+H72+J72+L72</f>
        <v>0</v>
      </c>
      <c r="D72" s="73">
        <f>C72-E72</f>
        <v>0</v>
      </c>
      <c r="E72" s="73">
        <f>Budsjettanalyse!F74</f>
        <v>0</v>
      </c>
      <c r="F72" s="74"/>
      <c r="G72" s="75"/>
      <c r="H72" s="74"/>
      <c r="I72" s="75"/>
      <c r="J72" s="74"/>
      <c r="K72" s="75"/>
      <c r="L72" s="74"/>
      <c r="M72" s="76"/>
    </row>
    <row r="73" spans="1:13" ht="12.75">
      <c r="A73" s="70">
        <v>7830</v>
      </c>
      <c r="B73" s="92" t="s">
        <v>76</v>
      </c>
      <c r="C73" s="72">
        <f>F73+H73+J73+L73</f>
        <v>0</v>
      </c>
      <c r="D73" s="73">
        <f>C73-E73</f>
        <v>0</v>
      </c>
      <c r="E73" s="73"/>
      <c r="F73" s="74">
        <f>Sentralt!B43</f>
        <v>0</v>
      </c>
      <c r="G73" s="89"/>
      <c r="H73" s="74"/>
      <c r="I73" s="75"/>
      <c r="J73" s="74"/>
      <c r="K73" s="75"/>
      <c r="L73" s="74"/>
      <c r="M73" s="76"/>
    </row>
    <row r="74" spans="1:13" ht="12.75">
      <c r="A74" s="70"/>
      <c r="B74" s="91" t="s">
        <v>77</v>
      </c>
      <c r="C74" s="80">
        <f>SUM(C42:C73)</f>
        <v>2578218.05</v>
      </c>
      <c r="D74" s="80">
        <f>SUM(D42:D73)</f>
        <v>4360.049999999988</v>
      </c>
      <c r="E74" s="80">
        <f>SUM(E42:E73)</f>
        <v>2573858</v>
      </c>
      <c r="F74" s="80">
        <f>SUM(F42:F73)</f>
        <v>1240350</v>
      </c>
      <c r="G74" s="81"/>
      <c r="H74" s="80">
        <f>SUM(H42:H73)</f>
        <v>567368.05</v>
      </c>
      <c r="I74" s="81"/>
      <c r="J74" s="80">
        <f>SUM(J42:J73)</f>
        <v>120500</v>
      </c>
      <c r="K74" s="81"/>
      <c r="L74" s="80">
        <f>SUM(L42:L73)</f>
        <v>650000</v>
      </c>
      <c r="M74" s="94"/>
    </row>
    <row r="75" spans="1:14" ht="12.75">
      <c r="A75" s="70"/>
      <c r="B75" s="88" t="s">
        <v>127</v>
      </c>
      <c r="C75" s="95">
        <f>C28+C41+C74</f>
        <v>6653237.873002799</v>
      </c>
      <c r="D75" s="95">
        <f>D28+D41+D74</f>
        <v>56429.87300280017</v>
      </c>
      <c r="E75" s="95">
        <f>E28+E41+E74</f>
        <v>6596808</v>
      </c>
      <c r="F75" s="95">
        <f>F28+F41+F74</f>
        <v>3381870.19</v>
      </c>
      <c r="G75" s="95">
        <f>G28+G41+G74</f>
        <v>0</v>
      </c>
      <c r="H75" s="95">
        <f>H28+H41+H74</f>
        <v>2220867.6830028</v>
      </c>
      <c r="I75" s="95">
        <f>I28+I41+I74</f>
        <v>0</v>
      </c>
      <c r="J75" s="95">
        <f>J28+J41+J74</f>
        <v>120500</v>
      </c>
      <c r="K75" s="95">
        <f>K28+K41+K74</f>
        <v>0</v>
      </c>
      <c r="L75" s="95">
        <f>L28+L41+L74</f>
        <v>930000</v>
      </c>
      <c r="M75" s="94"/>
      <c r="N75" s="96"/>
    </row>
    <row r="76" spans="1:14" ht="12.75">
      <c r="A76" s="70"/>
      <c r="B76" s="97" t="s">
        <v>79</v>
      </c>
      <c r="C76" s="98">
        <f>C17-C75</f>
        <v>-26551.973002798855</v>
      </c>
      <c r="D76" s="98">
        <f>D17-D75</f>
        <v>-572252.9730028001</v>
      </c>
      <c r="E76" s="98">
        <f>E17-E75</f>
        <v>41301</v>
      </c>
      <c r="F76" s="98">
        <f>F17-F75</f>
        <v>169172.81000000006</v>
      </c>
      <c r="G76" s="98">
        <f>G17-G75</f>
        <v>0</v>
      </c>
      <c r="H76" s="98">
        <f>H17-H75</f>
        <v>-75224.78300280031</v>
      </c>
      <c r="I76" s="98">
        <f>I17-I75</f>
        <v>0</v>
      </c>
      <c r="J76" s="98">
        <f>J17-J75</f>
        <v>-120500</v>
      </c>
      <c r="K76" s="98">
        <f>K17-K75</f>
        <v>0</v>
      </c>
      <c r="L76" s="98">
        <f>L17-L75</f>
        <v>0</v>
      </c>
      <c r="M76" s="94"/>
      <c r="N76" s="96"/>
    </row>
    <row r="77" spans="3:14" ht="12.75">
      <c r="C77" s="74"/>
      <c r="D77" s="66"/>
      <c r="E77" s="66"/>
      <c r="F77" s="74"/>
      <c r="G77" s="75"/>
      <c r="H77" s="74"/>
      <c r="I77" s="75"/>
      <c r="J77" s="74"/>
      <c r="K77" s="75"/>
      <c r="L77" s="74"/>
      <c r="M77" s="76"/>
      <c r="N77" s="99"/>
    </row>
    <row r="78" spans="1:13" ht="12.75">
      <c r="A78" s="100">
        <v>8040</v>
      </c>
      <c r="B78" s="71" t="s">
        <v>80</v>
      </c>
      <c r="C78" s="72">
        <f>FinansFond!B4</f>
        <v>35000</v>
      </c>
      <c r="D78" s="73"/>
      <c r="E78" s="73">
        <v>35000</v>
      </c>
      <c r="F78" s="74"/>
      <c r="G78" s="75"/>
      <c r="H78" s="74"/>
      <c r="I78" s="75"/>
      <c r="J78" s="74"/>
      <c r="K78" s="75"/>
      <c r="L78" s="74"/>
      <c r="M78" s="76"/>
    </row>
    <row r="79" spans="1:13" ht="12.75">
      <c r="A79" s="100">
        <v>8179</v>
      </c>
      <c r="B79" s="71" t="s">
        <v>128</v>
      </c>
      <c r="C79" s="72">
        <f>FinansFond!B5</f>
        <v>10000</v>
      </c>
      <c r="D79" s="73">
        <f>C79-E79</f>
        <v>-5000</v>
      </c>
      <c r="E79" s="73">
        <v>15000</v>
      </c>
      <c r="F79" s="74"/>
      <c r="G79" s="75"/>
      <c r="H79" s="74"/>
      <c r="I79" s="75"/>
      <c r="J79" s="74"/>
      <c r="K79" s="75"/>
      <c r="L79" s="74"/>
      <c r="M79" s="76"/>
    </row>
    <row r="80" spans="1:13" ht="12.75">
      <c r="A80" s="100"/>
      <c r="B80" s="71"/>
      <c r="C80" s="72">
        <f>F80+H80+J80+L80</f>
        <v>0</v>
      </c>
      <c r="D80" s="73">
        <f>C80-E80</f>
        <v>0</v>
      </c>
      <c r="E80" s="73"/>
      <c r="F80" s="74"/>
      <c r="G80" s="75"/>
      <c r="H80" s="74"/>
      <c r="I80" s="75"/>
      <c r="J80" s="74"/>
      <c r="K80" s="75"/>
      <c r="L80" s="74"/>
      <c r="M80" s="76"/>
    </row>
    <row r="81" spans="2:13" ht="12.75">
      <c r="B81" s="88" t="s">
        <v>129</v>
      </c>
      <c r="C81" s="86">
        <f>-C78+C79</f>
        <v>-25000</v>
      </c>
      <c r="D81" s="86">
        <f>-D78+D79-D80</f>
        <v>-5000</v>
      </c>
      <c r="E81" s="86">
        <f>-E78+E79-E80</f>
        <v>-20000</v>
      </c>
      <c r="F81" s="74"/>
      <c r="G81" s="75"/>
      <c r="H81" s="74"/>
      <c r="I81" s="75"/>
      <c r="J81" s="74"/>
      <c r="K81" s="75"/>
      <c r="L81" s="74"/>
      <c r="M81" s="76"/>
    </row>
    <row r="82" spans="2:13" ht="12.75">
      <c r="B82" s="97" t="s">
        <v>130</v>
      </c>
      <c r="C82" s="98">
        <f>C76-C81</f>
        <v>-1551.9730027988553</v>
      </c>
      <c r="D82" s="98">
        <f>D76-D81</f>
        <v>-567252.9730028001</v>
      </c>
      <c r="E82" s="98">
        <f>E76-E81</f>
        <v>61301</v>
      </c>
      <c r="F82" s="74"/>
      <c r="G82" s="75"/>
      <c r="H82" s="74"/>
      <c r="I82" s="75"/>
      <c r="J82" s="74"/>
      <c r="K82" s="75"/>
      <c r="L82" s="74"/>
      <c r="M82" s="76"/>
    </row>
    <row r="83" spans="3:13" ht="12.75">
      <c r="C83" s="74"/>
      <c r="D83" s="66"/>
      <c r="E83" s="66"/>
      <c r="F83" s="74"/>
      <c r="G83" s="75"/>
      <c r="H83" s="74"/>
      <c r="I83" s="75"/>
      <c r="J83" s="74"/>
      <c r="K83" s="75"/>
      <c r="L83" s="74"/>
      <c r="M83" s="76"/>
    </row>
    <row r="84" spans="1:13" ht="12.75">
      <c r="A84" s="100">
        <v>2025</v>
      </c>
      <c r="B84" s="71" t="s">
        <v>87</v>
      </c>
      <c r="C84" s="72">
        <f>FinansFond!B10</f>
        <v>0</v>
      </c>
      <c r="D84" s="73"/>
      <c r="E84" s="73"/>
      <c r="F84" s="74"/>
      <c r="G84" s="75"/>
      <c r="H84" s="74"/>
      <c r="I84" s="75"/>
      <c r="J84" s="74"/>
      <c r="K84" s="75"/>
      <c r="L84" s="74"/>
      <c r="M84" s="76"/>
    </row>
    <row r="85" spans="1:13" ht="12.75">
      <c r="A85" s="100">
        <v>2026</v>
      </c>
      <c r="B85" s="71" t="s">
        <v>131</v>
      </c>
      <c r="C85" s="72">
        <f>FinansFond!B11</f>
        <v>0</v>
      </c>
      <c r="D85" s="73">
        <f>C85-E85</f>
        <v>0</v>
      </c>
      <c r="E85" s="73"/>
      <c r="F85" s="74"/>
      <c r="H85" s="74"/>
      <c r="I85" s="75"/>
      <c r="J85" s="74"/>
      <c r="K85" s="75"/>
      <c r="L85" s="74"/>
      <c r="M85" s="76"/>
    </row>
    <row r="86" spans="1:13" ht="12.75">
      <c r="A86" s="100">
        <v>2026</v>
      </c>
      <c r="B86" s="71" t="s">
        <v>132</v>
      </c>
      <c r="C86" s="72">
        <f>FinansFond!B12</f>
        <v>-75224.78300279984</v>
      </c>
      <c r="D86" s="73" t="s">
        <v>133</v>
      </c>
      <c r="E86" s="101">
        <v>-60144</v>
      </c>
      <c r="F86" s="102"/>
      <c r="G86" s="103"/>
      <c r="H86" s="104"/>
      <c r="I86" s="103"/>
      <c r="J86" s="104"/>
      <c r="K86" s="103"/>
      <c r="L86" s="104"/>
      <c r="M86" s="105"/>
    </row>
    <row r="87" spans="1:13" ht="12.75">
      <c r="A87" s="100">
        <v>2029</v>
      </c>
      <c r="B87" s="71" t="s">
        <v>134</v>
      </c>
      <c r="C87" s="72">
        <f>FinansFond!B13</f>
        <v>-10000</v>
      </c>
      <c r="D87" s="73">
        <f>C87-E87</f>
        <v>-10000</v>
      </c>
      <c r="E87" s="101"/>
      <c r="F87" s="104"/>
      <c r="G87" s="103"/>
      <c r="H87" s="104"/>
      <c r="I87" s="103"/>
      <c r="J87" s="104"/>
      <c r="K87" s="103"/>
      <c r="L87" s="104"/>
      <c r="M87" s="105"/>
    </row>
    <row r="88" spans="1:13" ht="12.75">
      <c r="A88" s="100">
        <v>2030</v>
      </c>
      <c r="B88" s="71" t="s">
        <v>135</v>
      </c>
      <c r="C88" s="72">
        <f>FinansFond!B14</f>
        <v>0</v>
      </c>
      <c r="D88" s="73"/>
      <c r="E88" s="101"/>
      <c r="F88" s="104"/>
      <c r="G88" s="103"/>
      <c r="H88" s="104"/>
      <c r="I88" s="103"/>
      <c r="J88" s="104"/>
      <c r="K88" s="103"/>
      <c r="L88" s="104"/>
      <c r="M88" s="105"/>
    </row>
    <row r="89" spans="1:13" ht="12.75">
      <c r="A89" s="100">
        <v>2040</v>
      </c>
      <c r="B89" s="71" t="s">
        <v>91</v>
      </c>
      <c r="C89" s="72">
        <f>FinansFond!B15</f>
        <v>80000</v>
      </c>
      <c r="D89" s="73"/>
      <c r="E89" s="101"/>
      <c r="F89" s="104"/>
      <c r="G89" s="103"/>
      <c r="H89" s="104"/>
      <c r="I89" s="103"/>
      <c r="J89" s="104"/>
      <c r="K89" s="103"/>
      <c r="L89" s="104"/>
      <c r="M89" s="105"/>
    </row>
    <row r="90" spans="1:11" ht="12.75">
      <c r="A90" s="100"/>
      <c r="B90" s="88" t="s">
        <v>136</v>
      </c>
      <c r="C90" s="106">
        <f>-(C84+C85+C86+C87+C88+C89)</f>
        <v>5224.7830027998425</v>
      </c>
      <c r="D90" s="106">
        <f>SUM(D84:D88)</f>
        <v>-10000</v>
      </c>
      <c r="E90" s="107">
        <f>SUM(E84:E88)</f>
        <v>-60144</v>
      </c>
      <c r="F90" s="76"/>
      <c r="G90" s="76"/>
      <c r="H90" s="108"/>
      <c r="I90" s="76"/>
      <c r="J90" s="108"/>
      <c r="K90" s="76"/>
    </row>
    <row r="91" spans="1:11" ht="12.75">
      <c r="A91" s="100">
        <v>8980</v>
      </c>
      <c r="B91" s="97" t="s">
        <v>94</v>
      </c>
      <c r="C91" s="109">
        <f>C82+C90</f>
        <v>3672.810000000987</v>
      </c>
      <c r="D91" s="109">
        <f>D82+D90</f>
        <v>-577252.9730028001</v>
      </c>
      <c r="E91" s="109">
        <f>E82+E90</f>
        <v>1157</v>
      </c>
      <c r="F91" s="76"/>
      <c r="G91" s="76"/>
      <c r="H91" s="108"/>
      <c r="I91" s="75"/>
      <c r="J91" s="108"/>
      <c r="K91" s="76"/>
    </row>
  </sheetData>
  <sheetProtection selectLockedCells="1" selectUnlockedCells="1"/>
  <mergeCells count="5">
    <mergeCell ref="C1:E1"/>
    <mergeCell ref="F1:G1"/>
    <mergeCell ref="H1:I1"/>
    <mergeCell ref="J1:K1"/>
    <mergeCell ref="L1:M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showGridLines="0" zoomScale="60" zoomScaleNormal="60" workbookViewId="0" topLeftCell="A1">
      <selection activeCell="B16" sqref="B16"/>
    </sheetView>
  </sheetViews>
  <sheetFormatPr defaultColWidth="12.57421875" defaultRowHeight="12.75"/>
  <cols>
    <col min="1" max="1" width="28.28125" style="110" customWidth="1"/>
    <col min="2" max="16384" width="12.57421875" style="110" customWidth="1"/>
  </cols>
  <sheetData>
    <row r="2" spans="1:2" ht="12.75">
      <c r="A2" s="111" t="s">
        <v>137</v>
      </c>
      <c r="B2" s="112"/>
    </row>
    <row r="3" spans="1:2" ht="12.75">
      <c r="A3" s="113"/>
      <c r="B3" s="46"/>
    </row>
    <row r="4" spans="1:2" ht="12.75">
      <c r="A4" s="113" t="s">
        <v>138</v>
      </c>
      <c r="B4" s="46">
        <v>35000</v>
      </c>
    </row>
    <row r="5" spans="1:2" ht="12.75">
      <c r="A5" s="113" t="s">
        <v>74</v>
      </c>
      <c r="B5" s="46">
        <v>10000</v>
      </c>
    </row>
    <row r="6" spans="1:2" ht="12.75">
      <c r="A6" s="114" t="s">
        <v>139</v>
      </c>
      <c r="B6" s="115">
        <f>B4-B5</f>
        <v>25000</v>
      </c>
    </row>
    <row r="8" spans="1:2" ht="12.75">
      <c r="A8" s="111" t="s">
        <v>140</v>
      </c>
      <c r="B8" s="112"/>
    </row>
    <row r="9" spans="1:2" ht="12.75">
      <c r="A9" s="113"/>
      <c r="B9" s="46"/>
    </row>
    <row r="10" spans="1:2" ht="12.75">
      <c r="A10" s="113" t="s">
        <v>87</v>
      </c>
      <c r="B10" s="116">
        <f>-Program!H5</f>
        <v>0</v>
      </c>
    </row>
    <row r="11" spans="1:2" ht="12.75">
      <c r="A11" s="113" t="s">
        <v>131</v>
      </c>
      <c r="B11" s="46">
        <v>0</v>
      </c>
    </row>
    <row r="12" spans="1:2" ht="12.75">
      <c r="A12" s="113" t="s">
        <v>132</v>
      </c>
      <c r="B12" s="116">
        <f>-Program!H15-Program!H45</f>
        <v>-75224.78300279984</v>
      </c>
    </row>
    <row r="13" spans="1:2" ht="12.75">
      <c r="A13" s="113" t="s">
        <v>134</v>
      </c>
      <c r="B13" s="116">
        <v>-10000</v>
      </c>
    </row>
    <row r="14" spans="1:2" ht="12.75">
      <c r="A14" s="117" t="s">
        <v>135</v>
      </c>
      <c r="B14" s="50">
        <v>0</v>
      </c>
    </row>
    <row r="15" spans="1:2" ht="12.75">
      <c r="A15" s="117" t="s">
        <v>91</v>
      </c>
      <c r="B15" s="50">
        <v>80000</v>
      </c>
    </row>
    <row r="16" spans="1:2" ht="12.75">
      <c r="A16" s="114" t="s">
        <v>136</v>
      </c>
      <c r="B16" s="115">
        <f>SUM(B10:B15)</f>
        <v>-5224.7830027998425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showGridLines="0" zoomScale="60" zoomScaleNormal="60" workbookViewId="0" topLeftCell="A1">
      <selection activeCell="D80" sqref="D80"/>
    </sheetView>
  </sheetViews>
  <sheetFormatPr defaultColWidth="12.57421875" defaultRowHeight="12.75"/>
  <cols>
    <col min="1" max="1" width="56.00390625" style="110" customWidth="1"/>
    <col min="2" max="2" width="12.57421875" style="110" customWidth="1"/>
    <col min="3" max="3" width="35.57421875" style="110" customWidth="1"/>
    <col min="4" max="4" width="21.28125" style="110" customWidth="1"/>
    <col min="5" max="5" width="24.8515625" style="110" customWidth="1"/>
    <col min="6" max="6" width="20.7109375" style="110" customWidth="1"/>
    <col min="7" max="7" width="12.57421875" style="110" customWidth="1"/>
    <col min="8" max="8" width="20.7109375" style="110" customWidth="1"/>
    <col min="9" max="9" width="17.7109375" style="110" customWidth="1"/>
    <col min="10" max="10" width="15.7109375" style="110" customWidth="1"/>
    <col min="11" max="11" width="16.421875" style="110" customWidth="1"/>
    <col min="12" max="12" width="17.28125" style="110" customWidth="1"/>
    <col min="13" max="13" width="15.7109375" style="110" customWidth="1"/>
    <col min="14" max="16384" width="12.57421875" style="110" customWidth="1"/>
  </cols>
  <sheetData>
    <row r="1" spans="1:15" ht="12.75">
      <c r="A1" s="11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>
      <c r="A2" s="120" t="s">
        <v>141</v>
      </c>
      <c r="B2" s="121"/>
      <c r="C2" s="12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.75">
      <c r="A3" s="123" t="s">
        <v>142</v>
      </c>
      <c r="B3" s="124">
        <v>10</v>
      </c>
      <c r="C3" s="125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2.75">
      <c r="A4" s="126" t="s">
        <v>143</v>
      </c>
      <c r="B4" s="127">
        <v>12</v>
      </c>
      <c r="C4" s="122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2.75">
      <c r="A5" s="128"/>
      <c r="B5" s="128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5" ht="12.75">
      <c r="A6" s="120" t="s">
        <v>144</v>
      </c>
      <c r="B6" s="129"/>
      <c r="C6" s="129" t="s">
        <v>145</v>
      </c>
      <c r="D6" s="121"/>
      <c r="E6" s="122"/>
      <c r="F6" s="130"/>
      <c r="G6" s="119"/>
      <c r="H6" s="119"/>
      <c r="I6" s="119"/>
      <c r="J6" s="119"/>
      <c r="K6" s="119"/>
      <c r="L6" s="119"/>
      <c r="M6" s="119"/>
      <c r="N6" s="119"/>
      <c r="O6" s="119"/>
    </row>
    <row r="7" spans="1:15" ht="15" customHeight="1">
      <c r="A7" s="123" t="s">
        <v>17</v>
      </c>
      <c r="B7" s="131">
        <v>11.91</v>
      </c>
      <c r="C7" s="132" t="s">
        <v>146</v>
      </c>
      <c r="D7" s="133"/>
      <c r="E7" s="134" t="s">
        <v>147</v>
      </c>
      <c r="F7" s="134"/>
      <c r="G7" s="134"/>
      <c r="H7" s="119"/>
      <c r="I7" s="119"/>
      <c r="J7" s="119"/>
      <c r="K7" s="119"/>
      <c r="L7" s="119"/>
      <c r="M7" s="119"/>
      <c r="N7" s="119"/>
      <c r="O7" s="119"/>
    </row>
    <row r="8" spans="1:15" ht="15" customHeight="1">
      <c r="A8" s="123" t="s">
        <v>148</v>
      </c>
      <c r="B8" s="131">
        <v>22</v>
      </c>
      <c r="C8" s="135" t="s">
        <v>149</v>
      </c>
      <c r="D8" s="133"/>
      <c r="E8" s="134"/>
      <c r="F8" s="134"/>
      <c r="G8" s="134"/>
      <c r="H8" s="119"/>
      <c r="I8" s="119"/>
      <c r="J8" s="119"/>
      <c r="K8" s="119"/>
      <c r="L8" s="119"/>
      <c r="M8" s="119"/>
      <c r="N8" s="119"/>
      <c r="O8" s="119"/>
    </row>
    <row r="9" spans="1:15" ht="12.75">
      <c r="A9" s="123" t="s">
        <v>150</v>
      </c>
      <c r="B9" s="131">
        <v>6.5</v>
      </c>
      <c r="C9" s="132" t="s">
        <v>151</v>
      </c>
      <c r="D9" s="133"/>
      <c r="E9" s="134"/>
      <c r="F9" s="134"/>
      <c r="G9" s="134"/>
      <c r="H9" s="119"/>
      <c r="I9" s="119"/>
      <c r="J9" s="119"/>
      <c r="K9" s="119"/>
      <c r="L9" s="119"/>
      <c r="M9" s="119"/>
      <c r="N9" s="119"/>
      <c r="O9" s="119"/>
    </row>
    <row r="10" spans="1:15" ht="12.75">
      <c r="A10" s="123" t="s">
        <v>152</v>
      </c>
      <c r="B10" s="131">
        <v>98.47</v>
      </c>
      <c r="C10" s="132" t="s">
        <v>153</v>
      </c>
      <c r="D10" s="133"/>
      <c r="E10" s="134"/>
      <c r="F10" s="134"/>
      <c r="G10" s="134"/>
      <c r="H10" s="119"/>
      <c r="I10" s="119"/>
      <c r="J10" s="119"/>
      <c r="K10" s="119"/>
      <c r="L10" s="119"/>
      <c r="M10" s="119"/>
      <c r="N10" s="119"/>
      <c r="O10" s="119"/>
    </row>
    <row r="11" spans="1:15" ht="12.75">
      <c r="A11" s="123" t="s">
        <v>154</v>
      </c>
      <c r="B11" s="131">
        <v>80</v>
      </c>
      <c r="C11" s="132" t="s">
        <v>155</v>
      </c>
      <c r="D11" s="133"/>
      <c r="E11" s="134"/>
      <c r="F11" s="134"/>
      <c r="G11" s="134"/>
      <c r="H11" s="119"/>
      <c r="I11" s="119"/>
      <c r="J11" s="119"/>
      <c r="K11" s="119"/>
      <c r="L11" s="119"/>
      <c r="M11" s="119"/>
      <c r="N11" s="119"/>
      <c r="O11" s="119"/>
    </row>
    <row r="12" spans="1:15" ht="12.75">
      <c r="A12" s="123" t="s">
        <v>156</v>
      </c>
      <c r="B12" s="131">
        <v>100</v>
      </c>
      <c r="C12" s="132" t="s">
        <v>157</v>
      </c>
      <c r="D12" s="133"/>
      <c r="E12" s="134"/>
      <c r="F12" s="134"/>
      <c r="G12" s="134"/>
      <c r="H12" s="119"/>
      <c r="I12" s="119"/>
      <c r="J12" s="119"/>
      <c r="K12" s="119"/>
      <c r="L12" s="119"/>
      <c r="M12" s="119"/>
      <c r="N12" s="119"/>
      <c r="O12" s="119"/>
    </row>
    <row r="13" spans="1:15" ht="12.75">
      <c r="A13" s="123" t="s">
        <v>158</v>
      </c>
      <c r="B13" s="131">
        <v>50</v>
      </c>
      <c r="C13" s="132" t="s">
        <v>159</v>
      </c>
      <c r="D13" s="133"/>
      <c r="E13" s="136"/>
      <c r="F13" s="137"/>
      <c r="G13" s="137"/>
      <c r="H13" s="119"/>
      <c r="I13" s="119"/>
      <c r="J13" s="119"/>
      <c r="K13" s="119"/>
      <c r="L13" s="119"/>
      <c r="M13" s="119"/>
      <c r="N13" s="119"/>
      <c r="O13" s="119"/>
    </row>
    <row r="14" spans="1:15" ht="12.75">
      <c r="A14" s="123" t="s">
        <v>160</v>
      </c>
      <c r="B14" s="138">
        <v>0</v>
      </c>
      <c r="C14" s="132" t="s">
        <v>161</v>
      </c>
      <c r="D14" s="133"/>
      <c r="E14" s="122"/>
      <c r="F14" s="130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>
      <c r="A15" s="123" t="s">
        <v>162</v>
      </c>
      <c r="B15" s="138">
        <v>600</v>
      </c>
      <c r="C15" s="132" t="s">
        <v>163</v>
      </c>
      <c r="D15" s="133" t="s">
        <v>164</v>
      </c>
      <c r="E15" s="122"/>
      <c r="F15" s="130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>
      <c r="A16" s="123" t="s">
        <v>165</v>
      </c>
      <c r="B16" s="138">
        <v>0</v>
      </c>
      <c r="C16" s="132" t="s">
        <v>163</v>
      </c>
      <c r="D16" s="133" t="s">
        <v>164</v>
      </c>
      <c r="E16" s="122"/>
      <c r="F16" s="130"/>
      <c r="G16" s="119"/>
      <c r="H16" s="119"/>
      <c r="I16" s="119"/>
      <c r="J16" s="119"/>
      <c r="K16" s="119"/>
      <c r="L16" s="119"/>
      <c r="M16" s="119"/>
      <c r="N16" s="119"/>
      <c r="O16" s="119"/>
    </row>
    <row r="17" spans="1:15" ht="12.75">
      <c r="A17" s="123" t="s">
        <v>166</v>
      </c>
      <c r="B17" s="138">
        <v>600</v>
      </c>
      <c r="C17" s="132" t="s">
        <v>163</v>
      </c>
      <c r="D17" s="133" t="s">
        <v>164</v>
      </c>
      <c r="E17" s="122"/>
      <c r="F17" s="130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ht="12.75">
      <c r="A18" s="123" t="s">
        <v>167</v>
      </c>
      <c r="B18" s="138">
        <v>550</v>
      </c>
      <c r="C18" s="132" t="s">
        <v>163</v>
      </c>
      <c r="D18" s="133" t="s">
        <v>168</v>
      </c>
      <c r="E18" s="122"/>
      <c r="F18" s="130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12.75">
      <c r="A19" s="123" t="s">
        <v>169</v>
      </c>
      <c r="B19" s="138">
        <v>700</v>
      </c>
      <c r="C19" s="132" t="s">
        <v>163</v>
      </c>
      <c r="D19" s="133" t="s">
        <v>170</v>
      </c>
      <c r="E19" s="122"/>
      <c r="F19" s="130"/>
      <c r="G19" s="119"/>
      <c r="H19" s="119"/>
      <c r="I19" s="119"/>
      <c r="J19" s="119"/>
      <c r="K19" s="119"/>
      <c r="L19" s="119"/>
      <c r="M19" s="119"/>
      <c r="N19" s="119"/>
      <c r="O19" s="119"/>
    </row>
    <row r="20" spans="1:15" ht="12.75">
      <c r="A20" s="123" t="s">
        <v>171</v>
      </c>
      <c r="B20" s="138">
        <v>550</v>
      </c>
      <c r="C20" s="132" t="s">
        <v>163</v>
      </c>
      <c r="D20" s="133" t="s">
        <v>168</v>
      </c>
      <c r="E20" s="122"/>
      <c r="F20" s="130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123" t="s">
        <v>172</v>
      </c>
      <c r="B21" s="138">
        <v>750</v>
      </c>
      <c r="C21" s="132" t="s">
        <v>163</v>
      </c>
      <c r="D21" s="133" t="s">
        <v>168</v>
      </c>
      <c r="E21" s="122"/>
      <c r="F21" s="130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1:15" ht="12.75">
      <c r="A22" s="123" t="s">
        <v>173</v>
      </c>
      <c r="B22" s="138">
        <v>350</v>
      </c>
      <c r="C22" s="132" t="s">
        <v>163</v>
      </c>
      <c r="D22" s="133" t="s">
        <v>168</v>
      </c>
      <c r="E22" s="122"/>
      <c r="F22" s="130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12.75">
      <c r="A23" s="123" t="s">
        <v>174</v>
      </c>
      <c r="B23" s="138">
        <v>550</v>
      </c>
      <c r="C23" s="132" t="s">
        <v>163</v>
      </c>
      <c r="D23" s="133" t="s">
        <v>168</v>
      </c>
      <c r="E23" s="122"/>
      <c r="F23" s="130"/>
      <c r="G23" s="139"/>
      <c r="H23" s="139"/>
      <c r="I23" s="139"/>
      <c r="J23" s="119"/>
      <c r="K23" s="119"/>
      <c r="L23" s="119"/>
      <c r="M23" s="119"/>
      <c r="N23" s="119"/>
      <c r="O23" s="119"/>
    </row>
    <row r="24" spans="1:15" ht="12.75">
      <c r="A24" s="123" t="s">
        <v>175</v>
      </c>
      <c r="B24" s="138">
        <v>800</v>
      </c>
      <c r="C24" s="132" t="s">
        <v>163</v>
      </c>
      <c r="D24" s="133" t="s">
        <v>168</v>
      </c>
      <c r="E24" s="122"/>
      <c r="F24" s="130"/>
      <c r="G24" s="139"/>
      <c r="H24" s="139"/>
      <c r="I24" s="139"/>
      <c r="J24" s="119"/>
      <c r="K24" s="119"/>
      <c r="L24" s="119"/>
      <c r="M24" s="119"/>
      <c r="N24" s="119"/>
      <c r="O24" s="119"/>
    </row>
    <row r="25" spans="1:15" ht="12.75">
      <c r="A25" s="140" t="s">
        <v>176</v>
      </c>
      <c r="B25" s="141">
        <v>500</v>
      </c>
      <c r="C25" s="132"/>
      <c r="D25" s="133"/>
      <c r="E25" s="122"/>
      <c r="F25" s="130"/>
      <c r="G25" s="139"/>
      <c r="H25" s="139"/>
      <c r="I25" s="139"/>
      <c r="J25" s="119"/>
      <c r="K25" s="119"/>
      <c r="L25" s="119"/>
      <c r="M25" s="119"/>
      <c r="N25" s="119"/>
      <c r="O25" s="119"/>
    </row>
    <row r="26" spans="1:15" ht="12.75">
      <c r="A26" s="123" t="s">
        <v>177</v>
      </c>
      <c r="B26" s="138">
        <v>800</v>
      </c>
      <c r="C26" s="132" t="s">
        <v>163</v>
      </c>
      <c r="D26" s="133" t="s">
        <v>168</v>
      </c>
      <c r="E26" s="122"/>
      <c r="F26" s="130"/>
      <c r="G26" s="139"/>
      <c r="H26" s="139"/>
      <c r="I26" s="139"/>
      <c r="J26" s="119"/>
      <c r="K26" s="119"/>
      <c r="L26" s="119"/>
      <c r="M26" s="119"/>
      <c r="N26" s="119"/>
      <c r="O26" s="119"/>
    </row>
    <row r="27" spans="1:15" ht="12.75">
      <c r="A27" s="126" t="s">
        <v>178</v>
      </c>
      <c r="B27" s="142">
        <v>2000</v>
      </c>
      <c r="C27" s="143" t="s">
        <v>163</v>
      </c>
      <c r="D27" s="144" t="s">
        <v>168</v>
      </c>
      <c r="E27" s="122"/>
      <c r="F27" s="130"/>
      <c r="G27" s="139"/>
      <c r="H27" s="139"/>
      <c r="I27" s="139"/>
      <c r="J27" s="119"/>
      <c r="K27" s="119"/>
      <c r="L27" s="119"/>
      <c r="M27" s="119"/>
      <c r="N27" s="119"/>
      <c r="O27" s="119"/>
    </row>
    <row r="28" spans="1:15" ht="12.75">
      <c r="A28" s="145"/>
      <c r="B28" s="145"/>
      <c r="C28" s="145"/>
      <c r="D28" s="145"/>
      <c r="E28" s="119"/>
      <c r="F28" s="119"/>
      <c r="G28" s="139"/>
      <c r="H28" s="139"/>
      <c r="I28" s="139"/>
      <c r="J28" s="119"/>
      <c r="K28" s="119"/>
      <c r="L28" s="119"/>
      <c r="M28" s="119"/>
      <c r="N28" s="119"/>
      <c r="O28" s="119"/>
    </row>
    <row r="29" spans="1:15" ht="12.75">
      <c r="A29" s="146" t="s">
        <v>179</v>
      </c>
      <c r="B29" s="145"/>
      <c r="C29" s="147"/>
      <c r="D29" s="147"/>
      <c r="E29" s="148"/>
      <c r="F29" s="148"/>
      <c r="G29" s="149"/>
      <c r="H29" s="139"/>
      <c r="I29" s="139"/>
      <c r="J29" s="119"/>
      <c r="K29" s="119"/>
      <c r="L29" s="119"/>
      <c r="M29" s="119"/>
      <c r="N29" s="119"/>
      <c r="O29" s="119"/>
    </row>
    <row r="30" spans="1:15" ht="12.75">
      <c r="A30" s="113"/>
      <c r="B30" s="130"/>
      <c r="C30" s="150" t="s">
        <v>180</v>
      </c>
      <c r="D30" s="150" t="s">
        <v>181</v>
      </c>
      <c r="E30" s="151" t="s">
        <v>182</v>
      </c>
      <c r="F30" s="151" t="s">
        <v>183</v>
      </c>
      <c r="G30" s="152"/>
      <c r="H30" s="139"/>
      <c r="I30" s="139"/>
      <c r="J30" s="119"/>
      <c r="K30" s="119"/>
      <c r="L30" s="119"/>
      <c r="M30" s="119"/>
      <c r="N30" s="119"/>
      <c r="O30" s="119"/>
    </row>
    <row r="31" spans="1:15" ht="12.75">
      <c r="A31" s="122" t="s">
        <v>184</v>
      </c>
      <c r="B31" s="153">
        <f>C31+D31+E31+F31</f>
        <v>48</v>
      </c>
      <c r="C31" s="154">
        <v>12</v>
      </c>
      <c r="D31" s="154">
        <v>11</v>
      </c>
      <c r="E31" s="155">
        <v>9</v>
      </c>
      <c r="F31" s="155">
        <v>16</v>
      </c>
      <c r="G31" s="152"/>
      <c r="H31" s="139"/>
      <c r="O31" s="119"/>
    </row>
    <row r="32" spans="1:15" ht="12.75">
      <c r="A32" s="122" t="s">
        <v>185</v>
      </c>
      <c r="B32" s="154">
        <v>32</v>
      </c>
      <c r="C32" s="130"/>
      <c r="D32" s="130"/>
      <c r="E32" s="156"/>
      <c r="F32" s="156"/>
      <c r="G32" s="152"/>
      <c r="H32" s="139"/>
      <c r="O32" s="119"/>
    </row>
    <row r="33" spans="1:15" ht="12.75">
      <c r="A33" s="122" t="s">
        <v>186</v>
      </c>
      <c r="B33" s="154">
        <v>6</v>
      </c>
      <c r="C33" s="130"/>
      <c r="D33" s="130"/>
      <c r="E33" s="156"/>
      <c r="F33" s="156"/>
      <c r="G33" s="152"/>
      <c r="H33" s="139"/>
      <c r="O33" s="119"/>
    </row>
    <row r="34" spans="1:15" ht="12.75">
      <c r="A34" s="113"/>
      <c r="B34" s="157"/>
      <c r="C34" s="157"/>
      <c r="D34" s="157"/>
      <c r="E34" s="157"/>
      <c r="F34" s="157"/>
      <c r="G34" s="152"/>
      <c r="H34" s="139"/>
      <c r="O34" s="119"/>
    </row>
    <row r="35" spans="1:15" ht="12.75">
      <c r="A35" s="122" t="s">
        <v>187</v>
      </c>
      <c r="B35" s="153">
        <f>C35+D35+E35+F35</f>
        <v>23</v>
      </c>
      <c r="C35" s="154">
        <v>4</v>
      </c>
      <c r="D35" s="154">
        <v>9</v>
      </c>
      <c r="E35" s="155">
        <v>2</v>
      </c>
      <c r="F35" s="155">
        <v>8</v>
      </c>
      <c r="G35" s="152"/>
      <c r="H35" s="139"/>
      <c r="I35" s="139"/>
      <c r="J35" s="119"/>
      <c r="K35" s="119"/>
      <c r="L35" s="119"/>
      <c r="M35" s="119"/>
      <c r="N35" s="119"/>
      <c r="O35" s="119"/>
    </row>
    <row r="36" spans="1:15" ht="12.75">
      <c r="A36" s="122" t="s">
        <v>188</v>
      </c>
      <c r="B36" s="154">
        <v>4</v>
      </c>
      <c r="C36" s="118"/>
      <c r="D36" s="118"/>
      <c r="E36" s="158"/>
      <c r="F36" s="158"/>
      <c r="G36" s="152"/>
      <c r="H36" s="139"/>
      <c r="O36" s="119"/>
    </row>
    <row r="37" spans="1:15" ht="12.75">
      <c r="A37" s="122"/>
      <c r="B37" s="130"/>
      <c r="C37" s="130"/>
      <c r="D37" s="130"/>
      <c r="E37" s="156"/>
      <c r="F37" s="156"/>
      <c r="G37" s="152"/>
      <c r="H37" s="139"/>
      <c r="I37" s="157"/>
      <c r="J37" s="157"/>
      <c r="K37" s="157"/>
      <c r="L37" s="157"/>
      <c r="M37" s="157"/>
      <c r="O37" s="119"/>
    </row>
    <row r="38" spans="1:15" ht="12.75">
      <c r="A38" s="122" t="s">
        <v>189</v>
      </c>
      <c r="B38" s="154">
        <v>7</v>
      </c>
      <c r="C38" s="130"/>
      <c r="D38" s="130"/>
      <c r="E38" s="156"/>
      <c r="F38" s="156"/>
      <c r="G38" s="152"/>
      <c r="H38" s="139"/>
      <c r="I38" s="157"/>
      <c r="J38" s="157"/>
      <c r="K38" s="157"/>
      <c r="L38" s="157"/>
      <c r="M38" s="157"/>
      <c r="O38" s="119"/>
    </row>
    <row r="39" spans="1:15" ht="12.75">
      <c r="A39" s="122"/>
      <c r="B39" s="130"/>
      <c r="C39" s="130"/>
      <c r="D39" s="130"/>
      <c r="E39" s="156"/>
      <c r="F39" s="156"/>
      <c r="G39" s="152"/>
      <c r="H39" s="139"/>
      <c r="I39" s="157"/>
      <c r="J39" s="157"/>
      <c r="K39" s="157"/>
      <c r="L39" s="157"/>
      <c r="M39" s="157"/>
      <c r="O39" s="119"/>
    </row>
    <row r="40" spans="1:15" ht="12.75">
      <c r="A40" s="122" t="s">
        <v>190</v>
      </c>
      <c r="B40" s="154">
        <v>1</v>
      </c>
      <c r="C40" s="130"/>
      <c r="D40" s="130"/>
      <c r="E40" s="156"/>
      <c r="F40" s="156"/>
      <c r="G40" s="152"/>
      <c r="H40" s="139"/>
      <c r="I40" s="130"/>
      <c r="J40" s="130"/>
      <c r="K40" s="130"/>
      <c r="L40" s="130"/>
      <c r="M40" s="130"/>
      <c r="N40" s="119"/>
      <c r="O40" s="119"/>
    </row>
    <row r="41" spans="1:15" ht="12.75">
      <c r="A41" s="122" t="s">
        <v>191</v>
      </c>
      <c r="B41" s="154">
        <v>2</v>
      </c>
      <c r="C41" s="130"/>
      <c r="D41" s="130"/>
      <c r="E41" s="156"/>
      <c r="F41" s="156"/>
      <c r="G41" s="152"/>
      <c r="H41" s="139"/>
      <c r="I41" s="157"/>
      <c r="J41" s="157"/>
      <c r="K41" s="157"/>
      <c r="L41" s="157"/>
      <c r="M41" s="157"/>
      <c r="O41" s="119"/>
    </row>
    <row r="42" spans="1:15" ht="12.75">
      <c r="A42" s="122" t="s">
        <v>192</v>
      </c>
      <c r="B42" s="154">
        <v>4</v>
      </c>
      <c r="C42" s="130"/>
      <c r="D42" s="130"/>
      <c r="E42" s="156"/>
      <c r="F42" s="156"/>
      <c r="G42" s="152"/>
      <c r="H42" s="139"/>
      <c r="I42" s="157"/>
      <c r="J42" s="157"/>
      <c r="K42" s="157"/>
      <c r="L42" s="157"/>
      <c r="M42" s="157"/>
      <c r="O42" s="119"/>
    </row>
    <row r="43" spans="1:15" ht="12.75">
      <c r="A43" s="122" t="s">
        <v>193</v>
      </c>
      <c r="B43" s="154">
        <v>1</v>
      </c>
      <c r="C43" s="130"/>
      <c r="D43" s="130"/>
      <c r="E43" s="156"/>
      <c r="F43" s="156"/>
      <c r="G43" s="152"/>
      <c r="H43" s="139"/>
      <c r="I43" s="157"/>
      <c r="J43" s="157"/>
      <c r="K43" s="157"/>
      <c r="L43" s="157"/>
      <c r="M43" s="157"/>
      <c r="O43" s="119"/>
    </row>
    <row r="44" spans="1:15" ht="12.75">
      <c r="A44" s="122" t="s">
        <v>194</v>
      </c>
      <c r="B44" s="154">
        <v>6</v>
      </c>
      <c r="C44" s="130"/>
      <c r="D44" s="130"/>
      <c r="E44" s="156"/>
      <c r="F44" s="156"/>
      <c r="G44" s="152"/>
      <c r="H44" s="139"/>
      <c r="I44" s="157"/>
      <c r="J44" s="157"/>
      <c r="K44" s="157"/>
      <c r="L44" s="157"/>
      <c r="M44" s="157"/>
      <c r="O44" s="119"/>
    </row>
    <row r="45" spans="1:15" ht="12.75">
      <c r="A45" s="122" t="s">
        <v>195</v>
      </c>
      <c r="B45" s="154">
        <v>2</v>
      </c>
      <c r="C45" s="130"/>
      <c r="D45" s="130"/>
      <c r="E45" s="156"/>
      <c r="F45" s="156"/>
      <c r="G45" s="152"/>
      <c r="H45" s="139"/>
      <c r="O45" s="119"/>
    </row>
    <row r="46" spans="1:15" ht="12.75">
      <c r="A46" s="122" t="s">
        <v>196</v>
      </c>
      <c r="B46" s="154">
        <v>3</v>
      </c>
      <c r="C46" s="130"/>
      <c r="D46" s="130"/>
      <c r="E46" s="156"/>
      <c r="F46" s="156"/>
      <c r="G46" s="152"/>
      <c r="H46" s="139"/>
      <c r="O46" s="119"/>
    </row>
    <row r="47" spans="1:15" ht="12.75">
      <c r="A47" s="122" t="s">
        <v>197</v>
      </c>
      <c r="B47" s="154"/>
      <c r="C47" s="130"/>
      <c r="D47" s="130"/>
      <c r="E47" s="156"/>
      <c r="F47" s="156"/>
      <c r="G47" s="152"/>
      <c r="H47" s="139"/>
      <c r="I47" s="139"/>
      <c r="J47" s="119"/>
      <c r="K47" s="119"/>
      <c r="L47" s="119"/>
      <c r="M47" s="119"/>
      <c r="N47" s="119"/>
      <c r="O47" s="119"/>
    </row>
    <row r="48" spans="1:15" ht="12.75">
      <c r="A48" s="122"/>
      <c r="B48" s="130"/>
      <c r="C48" s="130"/>
      <c r="D48" s="130"/>
      <c r="E48" s="156"/>
      <c r="F48" s="156"/>
      <c r="G48" s="152"/>
      <c r="H48" s="139"/>
      <c r="I48" s="139"/>
      <c r="J48" s="119"/>
      <c r="K48" s="119"/>
      <c r="L48" s="119"/>
      <c r="M48" s="119"/>
      <c r="N48" s="119"/>
      <c r="O48" s="119"/>
    </row>
    <row r="49" spans="1:15" ht="12.75">
      <c r="A49" s="123" t="s">
        <v>198</v>
      </c>
      <c r="B49" s="159">
        <v>20</v>
      </c>
      <c r="C49" s="160"/>
      <c r="D49" s="130"/>
      <c r="E49" s="156"/>
      <c r="F49" s="156"/>
      <c r="G49" s="152"/>
      <c r="H49" s="139"/>
      <c r="I49" s="139"/>
      <c r="J49" s="119"/>
      <c r="K49" s="119"/>
      <c r="L49" s="119"/>
      <c r="M49" s="119"/>
      <c r="N49" s="119"/>
      <c r="O49" s="119"/>
    </row>
    <row r="50" spans="1:15" ht="12.75">
      <c r="A50" s="123" t="s">
        <v>199</v>
      </c>
      <c r="B50" s="159">
        <v>1</v>
      </c>
      <c r="C50" s="160"/>
      <c r="D50" s="156"/>
      <c r="E50" s="156"/>
      <c r="F50" s="156"/>
      <c r="G50" s="161"/>
      <c r="H50" s="119"/>
      <c r="I50" s="139"/>
      <c r="J50" s="119"/>
      <c r="K50" s="132" t="s">
        <v>200</v>
      </c>
      <c r="L50" s="119"/>
      <c r="M50" s="119"/>
      <c r="N50" s="119"/>
      <c r="O50" s="119"/>
    </row>
    <row r="51" spans="1:15" ht="12.75">
      <c r="A51" s="122"/>
      <c r="B51" s="130"/>
      <c r="C51" s="130"/>
      <c r="D51" s="156"/>
      <c r="E51" s="156"/>
      <c r="F51" s="156"/>
      <c r="G51" s="161"/>
      <c r="H51" s="119"/>
      <c r="I51" s="119"/>
      <c r="J51" s="119"/>
      <c r="K51" s="119"/>
      <c r="L51" s="119"/>
      <c r="M51" s="119"/>
      <c r="N51" s="119"/>
      <c r="O51" s="119"/>
    </row>
    <row r="52" spans="1:15" ht="12.75">
      <c r="A52" s="123" t="s">
        <v>201</v>
      </c>
      <c r="B52" s="159">
        <v>4</v>
      </c>
      <c r="C52" s="160"/>
      <c r="D52" s="130"/>
      <c r="E52" s="156"/>
      <c r="F52" s="156"/>
      <c r="G52" s="161"/>
      <c r="H52" s="119"/>
      <c r="I52" s="119"/>
      <c r="J52" s="119"/>
      <c r="K52" s="119"/>
      <c r="L52" s="119"/>
      <c r="M52" s="119"/>
      <c r="N52" s="119"/>
      <c r="O52" s="119"/>
    </row>
    <row r="53" spans="1:15" ht="12.75">
      <c r="A53" s="123" t="s">
        <v>202</v>
      </c>
      <c r="B53" s="159">
        <v>0</v>
      </c>
      <c r="C53" s="157"/>
      <c r="D53" s="130"/>
      <c r="E53" s="156"/>
      <c r="F53" s="156"/>
      <c r="G53" s="161"/>
      <c r="H53" s="119"/>
      <c r="I53" s="119"/>
      <c r="J53" s="119"/>
      <c r="K53" s="119"/>
      <c r="L53" s="119"/>
      <c r="M53" s="119"/>
      <c r="N53" s="119"/>
      <c r="O53" s="119"/>
    </row>
    <row r="54" spans="1:15" ht="12.75">
      <c r="A54" s="123" t="s">
        <v>203</v>
      </c>
      <c r="B54" s="159">
        <v>0</v>
      </c>
      <c r="C54" s="157"/>
      <c r="D54" s="130"/>
      <c r="E54" s="156"/>
      <c r="F54" s="156"/>
      <c r="G54" s="161"/>
      <c r="H54" s="119"/>
      <c r="I54" s="119"/>
      <c r="J54" s="119"/>
      <c r="K54" s="119"/>
      <c r="L54" s="119"/>
      <c r="M54" s="119"/>
      <c r="N54" s="119"/>
      <c r="O54" s="119"/>
    </row>
    <row r="55" spans="1:15" ht="12.75">
      <c r="A55" s="123" t="s">
        <v>204</v>
      </c>
      <c r="B55" s="159">
        <f>B52</f>
        <v>4</v>
      </c>
      <c r="C55" s="130"/>
      <c r="D55" s="156"/>
      <c r="E55" s="156"/>
      <c r="F55" s="156"/>
      <c r="G55" s="161"/>
      <c r="H55" s="119"/>
      <c r="I55" s="119"/>
      <c r="J55" s="119"/>
      <c r="K55" s="119"/>
      <c r="L55" s="119"/>
      <c r="M55" s="119"/>
      <c r="N55" s="119"/>
      <c r="O55" s="119"/>
    </row>
    <row r="56" spans="1:15" ht="12.75">
      <c r="A56" s="123" t="s">
        <v>205</v>
      </c>
      <c r="B56" s="159">
        <v>0</v>
      </c>
      <c r="C56" s="160"/>
      <c r="D56" s="130"/>
      <c r="E56" s="156"/>
      <c r="F56" s="156"/>
      <c r="G56" s="161"/>
      <c r="H56" s="119"/>
      <c r="I56" s="119"/>
      <c r="J56" s="119"/>
      <c r="K56" s="119"/>
      <c r="L56" s="119"/>
      <c r="M56" s="119"/>
      <c r="N56" s="119"/>
      <c r="O56" s="119"/>
    </row>
    <row r="57" spans="1:15" ht="12.75">
      <c r="A57" s="123" t="s">
        <v>206</v>
      </c>
      <c r="B57" s="159">
        <f>B53</f>
        <v>0</v>
      </c>
      <c r="C57" s="160"/>
      <c r="D57" s="130"/>
      <c r="E57" s="156"/>
      <c r="F57" s="156"/>
      <c r="G57" s="161"/>
      <c r="H57" s="119"/>
      <c r="I57" s="119"/>
      <c r="J57" s="119"/>
      <c r="K57" s="119"/>
      <c r="L57" s="119"/>
      <c r="M57" s="119"/>
      <c r="N57" s="119"/>
      <c r="O57" s="119"/>
    </row>
    <row r="58" spans="1:15" ht="12.75">
      <c r="A58" s="117"/>
      <c r="B58" s="162"/>
      <c r="C58" s="143"/>
      <c r="D58" s="118"/>
      <c r="E58" s="158"/>
      <c r="F58" s="158"/>
      <c r="G58" s="163"/>
      <c r="H58" s="119"/>
      <c r="I58" s="119"/>
      <c r="J58" s="119"/>
      <c r="K58" s="119"/>
      <c r="L58" s="119"/>
      <c r="M58" s="119"/>
      <c r="N58" s="119"/>
      <c r="O58" s="119"/>
    </row>
    <row r="59" spans="1:15" ht="12.75">
      <c r="A59" s="160"/>
      <c r="B59" s="164"/>
      <c r="C59" s="160"/>
      <c r="D59" s="130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ht="12.75">
      <c r="A60" s="120" t="s">
        <v>207</v>
      </c>
      <c r="B60" s="165"/>
      <c r="C60" s="129"/>
      <c r="D60" s="121"/>
      <c r="E60" s="119"/>
      <c r="L60" s="119"/>
      <c r="M60" s="119"/>
      <c r="N60" s="119"/>
      <c r="O60" s="119"/>
    </row>
    <row r="61" spans="1:15" ht="15" customHeight="1">
      <c r="A61" s="123" t="s">
        <v>208</v>
      </c>
      <c r="B61" s="138">
        <f>(((B7*B66)*12)*4)*28+((B7*B66)*6)*28</f>
        <v>9822.4649838</v>
      </c>
      <c r="C61" s="132" t="s">
        <v>209</v>
      </c>
      <c r="D61" s="133"/>
      <c r="E61" s="134" t="s">
        <v>210</v>
      </c>
      <c r="F61" s="134"/>
      <c r="G61" s="134"/>
      <c r="H61" s="110" t="s">
        <v>211</v>
      </c>
      <c r="L61" s="119"/>
      <c r="M61" s="119"/>
      <c r="N61" s="119"/>
      <c r="O61" s="119"/>
    </row>
    <row r="62" spans="1:15" ht="12.75">
      <c r="A62" s="123" t="s">
        <v>212</v>
      </c>
      <c r="B62" s="138">
        <f>(((B7*B66)*9)*4)*23</f>
        <v>5378.9689197</v>
      </c>
      <c r="C62" s="132" t="s">
        <v>209</v>
      </c>
      <c r="D62" s="133"/>
      <c r="E62" s="134"/>
      <c r="F62" s="134"/>
      <c r="G62" s="134"/>
      <c r="L62" s="119"/>
      <c r="M62" s="119"/>
      <c r="N62" s="119"/>
      <c r="O62" s="119"/>
    </row>
    <row r="63" spans="1:15" ht="12.75">
      <c r="A63" s="123" t="s">
        <v>213</v>
      </c>
      <c r="B63" s="138">
        <v>3.25</v>
      </c>
      <c r="C63" s="132" t="s">
        <v>151</v>
      </c>
      <c r="D63" s="133"/>
      <c r="E63" s="134"/>
      <c r="F63" s="134"/>
      <c r="G63" s="134"/>
      <c r="L63" s="119"/>
      <c r="M63" s="119"/>
      <c r="N63" s="119"/>
      <c r="O63" s="119"/>
    </row>
    <row r="64" spans="1:15" ht="12.75">
      <c r="A64" s="123" t="s">
        <v>214</v>
      </c>
      <c r="B64" s="138">
        <v>6.49625</v>
      </c>
      <c r="C64" s="132" t="s">
        <v>151</v>
      </c>
      <c r="D64" s="133"/>
      <c r="E64" s="134"/>
      <c r="F64" s="134"/>
      <c r="G64" s="134"/>
      <c r="H64" s="119"/>
      <c r="I64" s="119"/>
      <c r="J64" s="119"/>
      <c r="K64" s="119"/>
      <c r="L64" s="119"/>
      <c r="M64" s="119"/>
      <c r="N64" s="119"/>
      <c r="O64" s="119"/>
    </row>
    <row r="65" spans="1:15" ht="12.75">
      <c r="A65" s="126" t="s">
        <v>215</v>
      </c>
      <c r="B65" s="142">
        <v>3.26714286</v>
      </c>
      <c r="C65" s="143" t="s">
        <v>151</v>
      </c>
      <c r="D65" s="144"/>
      <c r="E65" s="134"/>
      <c r="F65" s="134"/>
      <c r="G65" s="134"/>
      <c r="H65" s="119"/>
      <c r="I65" s="119"/>
      <c r="J65" s="119"/>
      <c r="K65" s="119"/>
      <c r="L65" s="119"/>
      <c r="M65" s="119"/>
      <c r="N65" s="119"/>
      <c r="O65" s="119"/>
    </row>
    <row r="66" spans="1:15" ht="12.75">
      <c r="A66" s="126"/>
      <c r="B66" s="166">
        <v>0.5454525</v>
      </c>
      <c r="C66" s="143" t="s">
        <v>216</v>
      </c>
      <c r="D66" s="144"/>
      <c r="E66" s="134"/>
      <c r="F66" s="134"/>
      <c r="G66" s="134"/>
      <c r="H66" s="119"/>
      <c r="I66" s="119"/>
      <c r="J66" s="119"/>
      <c r="K66" s="119"/>
      <c r="L66" s="119"/>
      <c r="M66" s="119"/>
      <c r="N66" s="119"/>
      <c r="O66" s="119"/>
    </row>
    <row r="67" spans="4:15" ht="12.75">
      <c r="D67" s="147"/>
      <c r="E67" s="130"/>
      <c r="F67" s="130"/>
      <c r="G67" s="156"/>
      <c r="H67" s="119"/>
      <c r="I67" s="119"/>
      <c r="J67" s="119"/>
      <c r="K67" s="119"/>
      <c r="L67" s="119"/>
      <c r="M67" s="119"/>
      <c r="N67" s="119"/>
      <c r="O67" s="119"/>
    </row>
    <row r="68" spans="1:15" ht="12.75">
      <c r="A68" s="167"/>
      <c r="B68" s="130"/>
      <c r="C68" s="130"/>
      <c r="D68" s="157"/>
      <c r="E68" s="130"/>
      <c r="F68" s="130"/>
      <c r="G68" s="119"/>
      <c r="H68" s="119"/>
      <c r="I68" s="119"/>
      <c r="J68" s="119"/>
      <c r="K68" s="119"/>
      <c r="L68" s="119"/>
      <c r="M68" s="119"/>
      <c r="N68" s="119"/>
      <c r="O68" s="119"/>
    </row>
    <row r="69" spans="1:15" ht="12.75">
      <c r="A69" s="130"/>
      <c r="B69" s="130"/>
      <c r="C69" s="130"/>
      <c r="D69" s="157"/>
      <c r="E69" s="130"/>
      <c r="F69" s="130"/>
      <c r="G69" s="119"/>
      <c r="H69" s="119"/>
      <c r="I69" s="119"/>
      <c r="J69" s="119"/>
      <c r="K69" s="119"/>
      <c r="L69" s="119"/>
      <c r="M69" s="119"/>
      <c r="N69" s="119"/>
      <c r="O69" s="119"/>
    </row>
    <row r="70" spans="1:15" ht="12.75">
      <c r="A70" s="130"/>
      <c r="B70" s="130"/>
      <c r="C70" s="130"/>
      <c r="D70" s="157"/>
      <c r="E70" s="130"/>
      <c r="F70" s="130"/>
      <c r="G70" s="119"/>
      <c r="H70" s="119"/>
      <c r="I70" s="119"/>
      <c r="J70" s="119"/>
      <c r="K70" s="119"/>
      <c r="L70" s="119"/>
      <c r="M70" s="119"/>
      <c r="N70" s="119"/>
      <c r="O70" s="119"/>
    </row>
    <row r="71" spans="1:15" ht="12.75">
      <c r="A71" s="130"/>
      <c r="B71" s="130"/>
      <c r="C71" s="130"/>
      <c r="D71" s="157"/>
      <c r="E71" s="130"/>
      <c r="F71" s="130"/>
      <c r="G71" s="119"/>
      <c r="H71" s="119"/>
      <c r="I71" s="119"/>
      <c r="J71" s="119"/>
      <c r="K71" s="119"/>
      <c r="L71" s="119"/>
      <c r="M71" s="119"/>
      <c r="N71" s="119"/>
      <c r="O71" s="119"/>
    </row>
    <row r="72" spans="1:15" ht="12.75">
      <c r="A72" s="130"/>
      <c r="B72" s="130"/>
      <c r="C72" s="130"/>
      <c r="D72" s="157"/>
      <c r="E72" s="130"/>
      <c r="F72" s="130"/>
      <c r="G72" s="119"/>
      <c r="H72" s="119"/>
      <c r="I72" s="119"/>
      <c r="J72" s="119"/>
      <c r="K72" s="119"/>
      <c r="L72" s="119"/>
      <c r="M72" s="119"/>
      <c r="N72" s="119"/>
      <c r="O72" s="119"/>
    </row>
    <row r="73" spans="1:15" ht="12.75">
      <c r="A73" s="146" t="s">
        <v>217</v>
      </c>
      <c r="B73" s="145"/>
      <c r="C73" s="168"/>
      <c r="D73" s="157"/>
      <c r="E73" s="130"/>
      <c r="F73" s="130"/>
      <c r="G73" s="119"/>
      <c r="H73" s="119"/>
      <c r="I73" s="119"/>
      <c r="J73" s="119"/>
      <c r="K73" s="119"/>
      <c r="L73" s="119"/>
      <c r="M73" s="119"/>
      <c r="N73" s="119"/>
      <c r="O73" s="119"/>
    </row>
    <row r="74" spans="1:15" ht="12.75">
      <c r="A74" s="122" t="s">
        <v>218</v>
      </c>
      <c r="B74" s="154">
        <v>95000</v>
      </c>
      <c r="C74" s="169" t="s">
        <v>219</v>
      </c>
      <c r="D74" s="157"/>
      <c r="E74" s="130"/>
      <c r="F74" s="130"/>
      <c r="G74" s="119"/>
      <c r="H74" s="119"/>
      <c r="I74" s="119"/>
      <c r="J74" s="119"/>
      <c r="K74" s="119"/>
      <c r="L74" s="119"/>
      <c r="M74" s="119"/>
      <c r="N74" s="119"/>
      <c r="O74" s="119"/>
    </row>
    <row r="75" spans="1:15" ht="12.75">
      <c r="A75" s="122" t="s">
        <v>212</v>
      </c>
      <c r="B75" s="154">
        <v>65000</v>
      </c>
      <c r="C75" s="169" t="s">
        <v>219</v>
      </c>
      <c r="D75" s="157"/>
      <c r="E75" s="130"/>
      <c r="F75" s="130"/>
      <c r="G75" s="119"/>
      <c r="H75" s="119"/>
      <c r="I75" s="119"/>
      <c r="J75" s="119"/>
      <c r="K75" s="119"/>
      <c r="L75" s="119"/>
      <c r="M75" s="119"/>
      <c r="N75" s="119"/>
      <c r="O75" s="119"/>
    </row>
    <row r="76" spans="1:15" ht="12.75">
      <c r="A76" s="113" t="s">
        <v>220</v>
      </c>
      <c r="B76" s="154">
        <v>15000</v>
      </c>
      <c r="C76" s="169" t="s">
        <v>219</v>
      </c>
      <c r="D76" s="157"/>
      <c r="E76" s="130"/>
      <c r="F76" s="130"/>
      <c r="G76" s="119"/>
      <c r="H76" s="119"/>
      <c r="I76" s="119"/>
      <c r="J76" s="119"/>
      <c r="K76" s="119"/>
      <c r="L76" s="119"/>
      <c r="M76" s="119"/>
      <c r="N76" s="119"/>
      <c r="O76" s="119"/>
    </row>
    <row r="77" spans="1:15" ht="12.75">
      <c r="A77" s="113" t="s">
        <v>221</v>
      </c>
      <c r="B77" s="154">
        <v>30000</v>
      </c>
      <c r="C77" s="169" t="s">
        <v>219</v>
      </c>
      <c r="D77" s="157"/>
      <c r="E77" s="130"/>
      <c r="F77" s="130"/>
      <c r="G77" s="119"/>
      <c r="H77" s="119"/>
      <c r="I77" s="119"/>
      <c r="J77" s="119"/>
      <c r="K77" s="119"/>
      <c r="L77" s="119"/>
      <c r="M77" s="119"/>
      <c r="N77" s="119"/>
      <c r="O77" s="119"/>
    </row>
    <row r="78" spans="1:15" ht="12.75">
      <c r="A78" s="113" t="s">
        <v>215</v>
      </c>
      <c r="B78" s="154">
        <v>40000</v>
      </c>
      <c r="C78" s="169" t="s">
        <v>219</v>
      </c>
      <c r="D78" s="157"/>
      <c r="E78" s="130"/>
      <c r="F78" s="130"/>
      <c r="G78" s="119"/>
      <c r="H78" s="119"/>
      <c r="I78" s="119"/>
      <c r="J78" s="119"/>
      <c r="K78" s="119"/>
      <c r="L78" s="119"/>
      <c r="M78" s="119"/>
      <c r="N78" s="119"/>
      <c r="O78" s="119"/>
    </row>
    <row r="79" spans="1:15" ht="12.75">
      <c r="A79" s="157" t="s">
        <v>213</v>
      </c>
      <c r="B79" s="154">
        <v>10000</v>
      </c>
      <c r="C79" s="170" t="s">
        <v>219</v>
      </c>
      <c r="D79" s="157"/>
      <c r="E79" s="130"/>
      <c r="F79" s="130"/>
      <c r="G79" s="119"/>
      <c r="H79" s="119"/>
      <c r="I79" s="119"/>
      <c r="J79" s="119"/>
      <c r="K79" s="119"/>
      <c r="L79" s="119"/>
      <c r="M79" s="119"/>
      <c r="N79" s="119"/>
      <c r="O79" s="119"/>
    </row>
    <row r="80" spans="1:15" ht="12.75">
      <c r="A80" s="171"/>
      <c r="B80" s="172"/>
      <c r="C80" s="173"/>
      <c r="D80" s="174"/>
      <c r="E80" s="130"/>
      <c r="F80" s="130"/>
      <c r="G80" s="119"/>
      <c r="H80" s="119"/>
      <c r="I80" s="119"/>
      <c r="J80" s="119"/>
      <c r="K80" s="119"/>
      <c r="L80" s="119"/>
      <c r="M80" s="119"/>
      <c r="N80" s="119"/>
      <c r="O80" s="119"/>
    </row>
    <row r="81" spans="1:15" ht="12.75">
      <c r="A81" s="130"/>
      <c r="B81" s="130"/>
      <c r="C81" s="130"/>
      <c r="D81" s="130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spans="1:15" ht="12.75">
      <c r="A82" s="120" t="s">
        <v>222</v>
      </c>
      <c r="B82" s="148"/>
      <c r="C82" s="148"/>
      <c r="D82" s="148"/>
      <c r="E82" s="121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spans="1:15" ht="12.75">
      <c r="A83" s="123" t="s">
        <v>223</v>
      </c>
      <c r="B83" s="159">
        <v>1</v>
      </c>
      <c r="C83" s="160" t="s">
        <v>224</v>
      </c>
      <c r="D83" s="159">
        <v>1600</v>
      </c>
      <c r="E83" s="133" t="s">
        <v>225</v>
      </c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ht="12.75">
      <c r="A84" s="123" t="s">
        <v>226</v>
      </c>
      <c r="B84" s="159">
        <v>1</v>
      </c>
      <c r="C84" s="160" t="s">
        <v>224</v>
      </c>
      <c r="D84" s="159">
        <v>1600</v>
      </c>
      <c r="E84" s="133" t="s">
        <v>225</v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ht="12.75">
      <c r="A85" s="126" t="s">
        <v>227</v>
      </c>
      <c r="B85" s="142">
        <v>1</v>
      </c>
      <c r="C85" s="143" t="s">
        <v>224</v>
      </c>
      <c r="D85" s="142">
        <v>2000</v>
      </c>
      <c r="E85" s="144" t="s">
        <v>225</v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6:15" ht="12.75">
      <c r="F86" s="119"/>
      <c r="G86" s="119"/>
      <c r="H86" s="119"/>
      <c r="I86" s="119"/>
      <c r="J86" s="119"/>
      <c r="K86" s="119"/>
      <c r="L86" s="119"/>
      <c r="M86" s="119"/>
      <c r="N86" s="119"/>
      <c r="O86" s="119"/>
    </row>
    <row r="87" spans="1:15" ht="12.75">
      <c r="A87" s="120" t="s">
        <v>228</v>
      </c>
      <c r="B87" s="148"/>
      <c r="C87" s="148"/>
      <c r="D87" s="148"/>
      <c r="E87" s="121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spans="1:15" ht="12.75">
      <c r="A88" s="123" t="s">
        <v>223</v>
      </c>
      <c r="B88" s="159">
        <v>1</v>
      </c>
      <c r="C88" s="160" t="s">
        <v>224</v>
      </c>
      <c r="D88" s="175">
        <v>1600</v>
      </c>
      <c r="E88" s="133" t="s">
        <v>225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spans="1:15" ht="12.75">
      <c r="A89" s="123" t="s">
        <v>226</v>
      </c>
      <c r="B89" s="159">
        <v>1</v>
      </c>
      <c r="C89" s="160" t="s">
        <v>224</v>
      </c>
      <c r="D89" s="175">
        <v>1600</v>
      </c>
      <c r="E89" s="133" t="s">
        <v>225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19"/>
    </row>
    <row r="90" spans="1:15" ht="12.75">
      <c r="A90" s="126" t="s">
        <v>227</v>
      </c>
      <c r="B90" s="142">
        <v>1</v>
      </c>
      <c r="C90" s="143" t="s">
        <v>224</v>
      </c>
      <c r="D90" s="176">
        <v>2000</v>
      </c>
      <c r="E90" s="144" t="s">
        <v>225</v>
      </c>
      <c r="F90" s="119"/>
      <c r="G90" s="119"/>
      <c r="H90" s="119"/>
      <c r="I90" s="119"/>
      <c r="J90" s="119"/>
      <c r="K90" s="119"/>
      <c r="L90" s="119"/>
      <c r="M90" s="119"/>
      <c r="N90" s="119"/>
      <c r="O90" s="119"/>
    </row>
    <row r="91" spans="1:15" ht="12.75">
      <c r="A91" s="118"/>
      <c r="B91" s="118"/>
      <c r="C91" s="118"/>
      <c r="D91" s="11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</row>
    <row r="92" spans="1:15" ht="12.75">
      <c r="A92" s="120" t="s">
        <v>229</v>
      </c>
      <c r="B92" s="129" t="s">
        <v>230</v>
      </c>
      <c r="C92" s="129" t="s">
        <v>231</v>
      </c>
      <c r="D92" s="121" t="s">
        <v>232</v>
      </c>
      <c r="E92" s="122"/>
      <c r="F92" s="130"/>
      <c r="G92" s="119"/>
      <c r="H92" s="119"/>
      <c r="I92" s="119"/>
      <c r="J92" s="119"/>
      <c r="K92" s="119"/>
      <c r="L92" s="119"/>
      <c r="M92" s="119"/>
      <c r="N92" s="119"/>
      <c r="O92" s="119"/>
    </row>
    <row r="93" spans="1:15" ht="12.75">
      <c r="A93" s="123" t="s">
        <v>233</v>
      </c>
      <c r="B93" s="138">
        <v>700</v>
      </c>
      <c r="C93" s="138">
        <v>450</v>
      </c>
      <c r="D93" s="177">
        <v>0.55</v>
      </c>
      <c r="E93" s="122"/>
      <c r="F93" s="130"/>
      <c r="G93" s="119"/>
      <c r="H93" s="119"/>
      <c r="I93" s="119"/>
      <c r="J93" s="119"/>
      <c r="K93" s="119"/>
      <c r="L93" s="119"/>
      <c r="M93" s="119"/>
      <c r="N93" s="119"/>
      <c r="O93" s="119"/>
    </row>
    <row r="94" spans="1:15" ht="12.75">
      <c r="A94" s="123" t="s">
        <v>234</v>
      </c>
      <c r="B94" s="138">
        <v>700</v>
      </c>
      <c r="C94" s="138">
        <v>450</v>
      </c>
      <c r="D94" s="177">
        <v>0.65</v>
      </c>
      <c r="E94" s="122"/>
      <c r="F94" s="130"/>
      <c r="G94" s="119"/>
      <c r="H94" s="119"/>
      <c r="I94" s="119"/>
      <c r="J94" s="119"/>
      <c r="K94" s="119"/>
      <c r="L94" s="119"/>
      <c r="M94" s="119"/>
      <c r="N94" s="119"/>
      <c r="O94" s="119"/>
    </row>
    <row r="95" spans="1:15" ht="12.75">
      <c r="A95" s="123" t="s">
        <v>235</v>
      </c>
      <c r="B95" s="138">
        <v>700</v>
      </c>
      <c r="C95" s="138">
        <v>900</v>
      </c>
      <c r="D95" s="177">
        <v>0.65</v>
      </c>
      <c r="E95" s="122"/>
      <c r="F95" s="130"/>
      <c r="G95" s="119"/>
      <c r="H95" s="119"/>
      <c r="I95" s="119"/>
      <c r="J95" s="119"/>
      <c r="K95" s="119"/>
      <c r="L95" s="119"/>
      <c r="M95" s="119"/>
      <c r="N95" s="119"/>
      <c r="O95" s="119"/>
    </row>
    <row r="96" spans="1:15" ht="12.75">
      <c r="A96" s="123" t="s">
        <v>236</v>
      </c>
      <c r="B96" s="138">
        <v>500</v>
      </c>
      <c r="C96" s="138">
        <v>500</v>
      </c>
      <c r="D96" s="177">
        <v>0.7</v>
      </c>
      <c r="E96" s="122"/>
      <c r="F96" s="130"/>
      <c r="G96" s="119"/>
      <c r="H96" s="119"/>
      <c r="I96" s="119"/>
      <c r="J96" s="119"/>
      <c r="K96" s="119"/>
      <c r="L96" s="119"/>
      <c r="M96" s="119"/>
      <c r="N96" s="119"/>
      <c r="O96" s="119"/>
    </row>
    <row r="97" spans="1:15" ht="12.75">
      <c r="A97" s="123" t="s">
        <v>237</v>
      </c>
      <c r="B97" s="138"/>
      <c r="C97" s="138"/>
      <c r="D97" s="177"/>
      <c r="E97" s="122"/>
      <c r="F97" s="130"/>
      <c r="G97" s="119"/>
      <c r="H97" s="119"/>
      <c r="I97" s="119"/>
      <c r="J97" s="119"/>
      <c r="K97" s="119"/>
      <c r="L97" s="119"/>
      <c r="M97" s="119"/>
      <c r="N97" s="119"/>
      <c r="O97" s="119"/>
    </row>
    <row r="98" spans="1:15" ht="12.75">
      <c r="A98" s="123" t="s">
        <v>238</v>
      </c>
      <c r="B98" s="138">
        <v>800</v>
      </c>
      <c r="C98" s="138">
        <v>1100</v>
      </c>
      <c r="D98" s="177">
        <v>0.65</v>
      </c>
      <c r="E98" s="122"/>
      <c r="F98" s="130"/>
      <c r="G98" s="119"/>
      <c r="H98" s="119"/>
      <c r="I98" s="119"/>
      <c r="J98" s="119"/>
      <c r="K98" s="119"/>
      <c r="L98" s="119"/>
      <c r="M98" s="119"/>
      <c r="N98" s="119"/>
      <c r="O98" s="119"/>
    </row>
    <row r="99" spans="1:15" ht="12.75">
      <c r="A99" s="126" t="s">
        <v>239</v>
      </c>
      <c r="B99" s="142">
        <v>1100</v>
      </c>
      <c r="C99" s="142">
        <v>1200</v>
      </c>
      <c r="D99" s="178">
        <v>0.9</v>
      </c>
      <c r="E99" s="122"/>
      <c r="F99" s="130"/>
      <c r="G99" s="119"/>
      <c r="H99" s="119"/>
      <c r="I99" s="119"/>
      <c r="J99" s="119"/>
      <c r="K99" s="119"/>
      <c r="L99" s="119"/>
      <c r="M99" s="119"/>
      <c r="N99" s="119"/>
      <c r="O99" s="119"/>
    </row>
    <row r="100" spans="1:15" ht="12.75">
      <c r="A100" s="128"/>
      <c r="B100" s="128"/>
      <c r="C100" s="145"/>
      <c r="D100" s="145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15" ht="12.75">
      <c r="A101" s="120" t="s">
        <v>240</v>
      </c>
      <c r="B101" s="121"/>
      <c r="D101" s="120" t="s">
        <v>241</v>
      </c>
      <c r="E101" s="17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2.75">
      <c r="A102" s="123" t="s">
        <v>242</v>
      </c>
      <c r="B102" s="180">
        <v>780000</v>
      </c>
      <c r="D102" s="117" t="s">
        <v>242</v>
      </c>
      <c r="E102" s="181">
        <v>1019143</v>
      </c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</row>
    <row r="103" spans="1:15" ht="12.75">
      <c r="A103" s="123" t="s">
        <v>243</v>
      </c>
      <c r="B103" s="182">
        <f>B105*B107</f>
        <v>311100</v>
      </c>
      <c r="C103" s="122" t="s">
        <v>244</v>
      </c>
      <c r="D103" s="148"/>
      <c r="E103" s="156"/>
      <c r="F103" s="156"/>
      <c r="G103" s="119"/>
      <c r="H103" s="119"/>
      <c r="I103" s="119"/>
      <c r="J103" s="119"/>
      <c r="K103" s="119"/>
      <c r="L103" s="119"/>
      <c r="M103" s="119"/>
      <c r="N103" s="119"/>
      <c r="O103" s="119"/>
    </row>
    <row r="104" spans="1:15" ht="12.75">
      <c r="A104" s="123" t="s">
        <v>245</v>
      </c>
      <c r="B104" s="182">
        <f>B102-B103</f>
        <v>468900</v>
      </c>
      <c r="C104" s="122"/>
      <c r="D104" s="183"/>
      <c r="E104" s="156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2.75">
      <c r="A105" s="123" t="s">
        <v>246</v>
      </c>
      <c r="B105" s="182">
        <f>((B31*4)+B32+(B35*4)+(B40*6)+(B41*6)+(B44+B45)+B49+B52+B53)</f>
        <v>366</v>
      </c>
      <c r="C105" s="122"/>
      <c r="D105" s="157"/>
      <c r="E105" s="156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</row>
    <row r="106" spans="1:15" ht="12.75">
      <c r="A106" s="123" t="s">
        <v>247</v>
      </c>
      <c r="B106" s="182">
        <f>B102/B105</f>
        <v>2131.1475409836066</v>
      </c>
      <c r="C106" s="122"/>
      <c r="D106" s="156"/>
      <c r="E106" s="156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</row>
    <row r="107" spans="1:15" ht="12.75">
      <c r="A107" s="126" t="s">
        <v>248</v>
      </c>
      <c r="B107" s="184">
        <v>850</v>
      </c>
      <c r="C107" s="122"/>
      <c r="D107" s="156"/>
      <c r="E107" s="156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</sheetData>
  <sheetProtection selectLockedCells="1" selectUnlockedCells="1"/>
  <mergeCells count="2">
    <mergeCell ref="E7:G12"/>
    <mergeCell ref="E61:G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1"/>
  <sheetViews>
    <sheetView showGridLines="0" zoomScale="60" zoomScaleNormal="60" workbookViewId="0" topLeftCell="A1">
      <selection activeCell="H50" sqref="H50"/>
    </sheetView>
  </sheetViews>
  <sheetFormatPr defaultColWidth="11.421875" defaultRowHeight="12.75"/>
  <cols>
    <col min="1" max="1" width="32.421875" style="135" customWidth="1"/>
    <col min="2" max="3" width="15.00390625" style="135" customWidth="1"/>
    <col min="4" max="4" width="15.28125" style="135" customWidth="1"/>
    <col min="5" max="5" width="15.8515625" style="135" customWidth="1"/>
    <col min="6" max="6" width="15.00390625" style="135" customWidth="1"/>
    <col min="7" max="7" width="15.8515625" style="135" customWidth="1"/>
    <col min="8" max="8" width="48.7109375" style="135" customWidth="1"/>
    <col min="9" max="11" width="11.57421875" style="135" customWidth="1"/>
    <col min="12" max="12" width="67.28125" style="135" customWidth="1"/>
    <col min="13" max="16384" width="11.57421875" style="135" customWidth="1"/>
  </cols>
  <sheetData>
    <row r="1" spans="1:20" ht="12.75" customHeight="1">
      <c r="A1" s="7" t="s">
        <v>249</v>
      </c>
      <c r="B1" s="162"/>
      <c r="C1" s="162"/>
      <c r="D1" s="162"/>
      <c r="E1" s="162"/>
      <c r="F1" s="50"/>
      <c r="G1" s="46"/>
      <c r="H1" s="185" t="s">
        <v>250</v>
      </c>
      <c r="I1" s="186"/>
      <c r="J1" s="187" t="s">
        <v>251</v>
      </c>
      <c r="K1" s="113"/>
      <c r="L1" s="188" t="s">
        <v>252</v>
      </c>
      <c r="M1" s="189"/>
      <c r="N1" s="187" t="s">
        <v>251</v>
      </c>
      <c r="O1" s="113"/>
      <c r="P1" s="157"/>
      <c r="Q1" s="110"/>
      <c r="R1" s="110"/>
      <c r="S1" s="110"/>
      <c r="T1" s="110"/>
    </row>
    <row r="2" spans="1:20" ht="15" customHeight="1">
      <c r="A2" s="190" t="s">
        <v>253</v>
      </c>
      <c r="B2" s="190" t="s">
        <v>180</v>
      </c>
      <c r="C2" s="190" t="s">
        <v>181</v>
      </c>
      <c r="D2" s="190" t="s">
        <v>182</v>
      </c>
      <c r="E2" s="190" t="s">
        <v>254</v>
      </c>
      <c r="F2" s="191" t="s">
        <v>255</v>
      </c>
      <c r="G2" s="110"/>
      <c r="H2" s="185"/>
      <c r="I2" s="192" t="s">
        <v>256</v>
      </c>
      <c r="J2" s="187"/>
      <c r="K2" s="113"/>
      <c r="L2" s="188"/>
      <c r="M2" s="193" t="s">
        <v>256</v>
      </c>
      <c r="N2" s="187"/>
      <c r="O2" s="113"/>
      <c r="P2" s="157"/>
      <c r="Q2" s="110"/>
      <c r="R2" s="110"/>
      <c r="S2" s="110"/>
      <c r="T2" s="110"/>
    </row>
    <row r="3" spans="1:20" ht="15" customHeight="1">
      <c r="A3" s="119" t="s">
        <v>162</v>
      </c>
      <c r="B3" s="194">
        <f>'Oversikt Variabler'!B15</f>
        <v>600</v>
      </c>
      <c r="C3" s="194">
        <f>'Oversikt Variabler'!B15</f>
        <v>600</v>
      </c>
      <c r="D3" s="194">
        <f>'Oversikt Variabler'!B15</f>
        <v>600</v>
      </c>
      <c r="E3" s="194">
        <f>'Oversikt Variabler'!B15</f>
        <v>600</v>
      </c>
      <c r="F3" s="194">
        <f>'Oversikt Variabler'!B15</f>
        <v>600</v>
      </c>
      <c r="G3" s="110"/>
      <c r="H3" s="195" t="s">
        <v>218</v>
      </c>
      <c r="I3" s="196"/>
      <c r="J3" s="196"/>
      <c r="K3" s="113"/>
      <c r="L3" s="195" t="s">
        <v>218</v>
      </c>
      <c r="M3" s="196"/>
      <c r="N3" s="197"/>
      <c r="O3" s="113"/>
      <c r="P3" s="157"/>
      <c r="Q3" s="110"/>
      <c r="R3" s="110"/>
      <c r="S3" s="110"/>
      <c r="T3" s="110"/>
    </row>
    <row r="4" spans="1:20" ht="12.75">
      <c r="A4" s="119" t="s">
        <v>257</v>
      </c>
      <c r="B4" s="194">
        <f>'Oversikt Variabler'!B16</f>
        <v>0</v>
      </c>
      <c r="C4" s="194">
        <f>'Oversikt Variabler'!B16</f>
        <v>0</v>
      </c>
      <c r="D4" s="194">
        <f>'Oversikt Variabler'!B16</f>
        <v>0</v>
      </c>
      <c r="E4" s="194">
        <f>'Oversikt Variabler'!B16</f>
        <v>0</v>
      </c>
      <c r="F4" s="194">
        <f>'Oversikt Variabler'!B16</f>
        <v>0</v>
      </c>
      <c r="G4" s="110"/>
      <c r="H4" s="113" t="s">
        <v>258</v>
      </c>
      <c r="I4" s="196">
        <v>21400</v>
      </c>
      <c r="J4" s="196">
        <v>5350</v>
      </c>
      <c r="K4" s="198"/>
      <c r="L4" s="113" t="s">
        <v>258</v>
      </c>
      <c r="M4" s="199">
        <f>N4*4</f>
        <v>21400</v>
      </c>
      <c r="N4" s="200">
        <f>B12</f>
        <v>5350</v>
      </c>
      <c r="O4" s="113"/>
      <c r="P4" s="157"/>
      <c r="Q4" s="110"/>
      <c r="R4" s="110"/>
      <c r="S4" s="110"/>
      <c r="T4" s="110"/>
    </row>
    <row r="5" spans="1:20" ht="12.75">
      <c r="A5" s="119" t="s">
        <v>259</v>
      </c>
      <c r="B5" s="194">
        <f>'Oversikt Variabler'!B17</f>
        <v>600</v>
      </c>
      <c r="C5" s="194">
        <f>'Oversikt Variabler'!B17</f>
        <v>600</v>
      </c>
      <c r="D5" s="194">
        <f>'Oversikt Variabler'!B17</f>
        <v>600</v>
      </c>
      <c r="E5" s="194">
        <f>'Oversikt Variabler'!B17</f>
        <v>600</v>
      </c>
      <c r="F5" s="194" t="s">
        <v>260</v>
      </c>
      <c r="G5" s="110"/>
      <c r="H5" s="113" t="s">
        <v>261</v>
      </c>
      <c r="I5" s="196">
        <v>19000</v>
      </c>
      <c r="J5" s="196">
        <v>4750</v>
      </c>
      <c r="K5" s="198"/>
      <c r="L5" s="113" t="s">
        <v>261</v>
      </c>
      <c r="M5" s="199">
        <f>N5*4</f>
        <v>19000</v>
      </c>
      <c r="N5" s="200">
        <f>C12</f>
        <v>4750</v>
      </c>
      <c r="O5" s="113"/>
      <c r="P5" s="157"/>
      <c r="Q5" s="110"/>
      <c r="R5" s="110"/>
      <c r="S5" s="110"/>
      <c r="T5" s="110"/>
    </row>
    <row r="6" spans="1:20" ht="12.75">
      <c r="A6" s="119" t="s">
        <v>262</v>
      </c>
      <c r="B6" s="194">
        <f>'Oversikt Variabler'!B18</f>
        <v>550</v>
      </c>
      <c r="C6" s="194">
        <f>'Oversikt Variabler'!B18</f>
        <v>550</v>
      </c>
      <c r="D6" s="194">
        <f>'Oversikt Variabler'!B18</f>
        <v>550</v>
      </c>
      <c r="E6" s="194">
        <f>'Oversikt Variabler'!B18</f>
        <v>550</v>
      </c>
      <c r="F6" s="194" t="s">
        <v>260</v>
      </c>
      <c r="G6" s="110"/>
      <c r="H6" s="113" t="s">
        <v>263</v>
      </c>
      <c r="I6" s="196">
        <v>13800</v>
      </c>
      <c r="J6" s="196">
        <v>3450</v>
      </c>
      <c r="K6" s="198"/>
      <c r="L6" s="113" t="s">
        <v>263</v>
      </c>
      <c r="M6" s="199">
        <f>N6*4</f>
        <v>13800</v>
      </c>
      <c r="N6" s="200">
        <f>D12</f>
        <v>3450</v>
      </c>
      <c r="O6" s="113"/>
      <c r="P6" s="157"/>
      <c r="Q6" s="110"/>
      <c r="R6" s="110"/>
      <c r="S6" s="110"/>
      <c r="T6" s="110"/>
    </row>
    <row r="7" spans="1:20" ht="12.75">
      <c r="A7" s="119" t="s">
        <v>264</v>
      </c>
      <c r="B7" s="194" t="s">
        <v>260</v>
      </c>
      <c r="C7" s="194" t="s">
        <v>260</v>
      </c>
      <c r="D7" s="194" t="s">
        <v>260</v>
      </c>
      <c r="E7" s="194" t="s">
        <v>260</v>
      </c>
      <c r="F7" s="194">
        <f>'Oversikt Variabler'!B19</f>
        <v>700</v>
      </c>
      <c r="G7" s="110"/>
      <c r="H7" s="113" t="s">
        <v>265</v>
      </c>
      <c r="I7" s="196">
        <v>8600</v>
      </c>
      <c r="J7" s="196">
        <v>2150</v>
      </c>
      <c r="K7" s="198"/>
      <c r="L7" s="113" t="s">
        <v>265</v>
      </c>
      <c r="M7" s="199">
        <f>N7*4</f>
        <v>8600</v>
      </c>
      <c r="N7" s="200">
        <f>E12</f>
        <v>2150</v>
      </c>
      <c r="O7" s="113"/>
      <c r="P7" s="157"/>
      <c r="Q7" s="110"/>
      <c r="R7" s="110"/>
      <c r="S7" s="110"/>
      <c r="T7" s="110"/>
    </row>
    <row r="8" spans="1:20" ht="12.75">
      <c r="A8" s="119" t="s">
        <v>17</v>
      </c>
      <c r="B8" s="194">
        <f>'Oversikt Variabler'!B7*28*'Oversikt Variabler'!B3</f>
        <v>3334.8</v>
      </c>
      <c r="C8" s="194">
        <f>'Oversikt Variabler'!B7*28*'Oversikt Variabler'!B3</f>
        <v>3334.8</v>
      </c>
      <c r="D8" s="194">
        <f>'Oversikt Variabler'!B7*28*'Oversikt Variabler'!B3</f>
        <v>3334.8</v>
      </c>
      <c r="E8" s="194">
        <f>'Oversikt Variabler'!B7*28*'Oversikt Variabler'!B3</f>
        <v>3334.8</v>
      </c>
      <c r="F8" s="194">
        <f>'Oversikt Variabler'!B7*28*'Oversikt Variabler'!B3</f>
        <v>3334.8</v>
      </c>
      <c r="G8" s="110"/>
      <c r="H8" s="117" t="s">
        <v>266</v>
      </c>
      <c r="I8" s="201"/>
      <c r="J8" s="202">
        <v>4285</v>
      </c>
      <c r="K8" s="113"/>
      <c r="L8" s="117" t="s">
        <v>266</v>
      </c>
      <c r="M8" s="203"/>
      <c r="N8" s="204">
        <f>F12</f>
        <v>4300</v>
      </c>
      <c r="O8" s="113"/>
      <c r="P8" s="157"/>
      <c r="Q8" s="110"/>
      <c r="R8" s="110"/>
      <c r="S8" s="110"/>
      <c r="T8" s="110"/>
    </row>
    <row r="9" spans="1:20" ht="12.75">
      <c r="A9" s="119" t="s">
        <v>267</v>
      </c>
      <c r="B9" s="194">
        <f>'Oversikt Variabler'!B8*'Oversikt Variabler'!B3</f>
        <v>220</v>
      </c>
      <c r="C9" s="194">
        <f>'Oversikt Variabler'!B8*'Oversikt Variabler'!B3</f>
        <v>220</v>
      </c>
      <c r="D9" s="194">
        <f>'Oversikt Variabler'!B8*'Oversikt Variabler'!B3</f>
        <v>220</v>
      </c>
      <c r="E9" s="194">
        <f>'Oversikt Variabler'!B8*'Oversikt Variabler'!B3</f>
        <v>220</v>
      </c>
      <c r="F9" s="194">
        <f>'Oversikt Variabler'!B8*'Oversikt Variabler'!B3</f>
        <v>220</v>
      </c>
      <c r="G9" s="110"/>
      <c r="H9" s="157"/>
      <c r="I9" s="205"/>
      <c r="J9" s="206"/>
      <c r="K9" s="113"/>
      <c r="L9" s="157"/>
      <c r="M9" s="207"/>
      <c r="N9" s="208"/>
      <c r="O9" s="113"/>
      <c r="P9" s="157"/>
      <c r="Q9" s="110"/>
      <c r="R9" s="110"/>
      <c r="S9" s="110"/>
      <c r="T9" s="110"/>
    </row>
    <row r="10" spans="1:20" ht="12.75">
      <c r="A10" s="209" t="s">
        <v>268</v>
      </c>
      <c r="B10" s="210">
        <f>SUM(B3:B9)</f>
        <v>5304.8</v>
      </c>
      <c r="C10" s="210">
        <f>SUM(C3:C9)</f>
        <v>5304.8</v>
      </c>
      <c r="D10" s="210">
        <f>SUM(D3:D9)</f>
        <v>5304.8</v>
      </c>
      <c r="E10" s="210">
        <f>SUM(E3:E9)</f>
        <v>5304.8</v>
      </c>
      <c r="F10" s="210">
        <f>SUM(F3:F9)</f>
        <v>4854.8</v>
      </c>
      <c r="G10" s="211"/>
      <c r="H10" s="212"/>
      <c r="I10" s="213"/>
      <c r="J10" s="213"/>
      <c r="K10" s="157"/>
      <c r="L10" s="162"/>
      <c r="M10" s="202"/>
      <c r="N10" s="214"/>
      <c r="O10" s="157"/>
      <c r="P10" s="157"/>
      <c r="Q10" s="110"/>
      <c r="R10" s="110"/>
      <c r="S10" s="110"/>
      <c r="T10" s="110"/>
    </row>
    <row r="11" spans="1:20" ht="12.75">
      <c r="A11" s="158" t="s">
        <v>269</v>
      </c>
      <c r="B11" s="215">
        <f>B12-B10</f>
        <v>45.19999999999982</v>
      </c>
      <c r="C11" s="215">
        <f>C12-C10</f>
        <v>-554.8000000000002</v>
      </c>
      <c r="D11" s="215">
        <f>D12-D10</f>
        <v>-1854.8000000000002</v>
      </c>
      <c r="E11" s="215">
        <f>E12-E10</f>
        <v>-3154.8</v>
      </c>
      <c r="F11" s="215">
        <f>F12-F10</f>
        <v>-554.8000000000002</v>
      </c>
      <c r="G11" s="110"/>
      <c r="H11" s="195" t="s">
        <v>212</v>
      </c>
      <c r="I11" s="196"/>
      <c r="J11" s="196"/>
      <c r="K11" s="113"/>
      <c r="L11" s="195" t="s">
        <v>212</v>
      </c>
      <c r="M11" s="196"/>
      <c r="N11" s="197"/>
      <c r="O11" s="113"/>
      <c r="P11" s="157"/>
      <c r="Q11" s="110"/>
      <c r="R11" s="110"/>
      <c r="S11" s="110"/>
      <c r="T11" s="110"/>
    </row>
    <row r="12" spans="1:20" ht="12.75">
      <c r="A12" s="216" t="s">
        <v>270</v>
      </c>
      <c r="B12" s="217">
        <v>5350</v>
      </c>
      <c r="C12" s="217">
        <v>4750</v>
      </c>
      <c r="D12" s="217">
        <v>3450</v>
      </c>
      <c r="E12" s="217">
        <v>2150</v>
      </c>
      <c r="F12" s="217">
        <v>4300</v>
      </c>
      <c r="H12" s="113" t="s">
        <v>258</v>
      </c>
      <c r="I12" s="196">
        <v>23000</v>
      </c>
      <c r="J12" s="196">
        <v>5750</v>
      </c>
      <c r="K12" s="198"/>
      <c r="L12" s="113" t="s">
        <v>258</v>
      </c>
      <c r="M12" s="199">
        <f>N12*4</f>
        <v>23200</v>
      </c>
      <c r="N12" s="200">
        <f>B26</f>
        <v>5800</v>
      </c>
      <c r="O12" s="113"/>
      <c r="P12" s="157"/>
      <c r="Q12" s="110"/>
      <c r="R12" s="110"/>
      <c r="S12" s="110"/>
      <c r="T12" s="110"/>
    </row>
    <row r="13" spans="1:20" ht="12.75">
      <c r="A13" s="110"/>
      <c r="B13" s="110"/>
      <c r="C13" s="110"/>
      <c r="D13" s="110"/>
      <c r="E13" s="110"/>
      <c r="F13" s="46"/>
      <c r="G13" s="110"/>
      <c r="H13" s="113" t="s">
        <v>261</v>
      </c>
      <c r="I13" s="196">
        <v>19000</v>
      </c>
      <c r="J13" s="196">
        <v>4750</v>
      </c>
      <c r="K13" s="198"/>
      <c r="L13" s="113" t="s">
        <v>261</v>
      </c>
      <c r="M13" s="199">
        <f>N13*4</f>
        <v>19200</v>
      </c>
      <c r="N13" s="200">
        <f>C26</f>
        <v>4800</v>
      </c>
      <c r="O13" s="113"/>
      <c r="P13" s="157"/>
      <c r="Q13" s="110"/>
      <c r="R13" s="110"/>
      <c r="S13" s="110"/>
      <c r="T13" s="110"/>
    </row>
    <row r="14" spans="1:20" ht="12.75">
      <c r="A14" s="7" t="s">
        <v>271</v>
      </c>
      <c r="B14" s="162"/>
      <c r="C14" s="162"/>
      <c r="D14" s="162"/>
      <c r="E14" s="162"/>
      <c r="F14" s="50"/>
      <c r="G14" s="46"/>
      <c r="H14" s="113" t="s">
        <v>263</v>
      </c>
      <c r="I14" s="196">
        <v>15000</v>
      </c>
      <c r="J14" s="196">
        <v>3750</v>
      </c>
      <c r="K14" s="198"/>
      <c r="L14" s="113" t="s">
        <v>263</v>
      </c>
      <c r="M14" s="199">
        <f>N14*4</f>
        <v>15200</v>
      </c>
      <c r="N14" s="200">
        <f>D26</f>
        <v>3800</v>
      </c>
      <c r="O14" s="113"/>
      <c r="P14" s="157"/>
      <c r="Q14" s="110"/>
      <c r="R14" s="110"/>
      <c r="S14" s="110"/>
      <c r="T14" s="110"/>
    </row>
    <row r="15" spans="1:20" ht="12.75">
      <c r="A15" s="190" t="s">
        <v>253</v>
      </c>
      <c r="B15" s="218" t="s">
        <v>180</v>
      </c>
      <c r="C15" s="218" t="s">
        <v>181</v>
      </c>
      <c r="D15" s="218" t="s">
        <v>182</v>
      </c>
      <c r="E15" s="218" t="s">
        <v>254</v>
      </c>
      <c r="F15" s="46"/>
      <c r="G15" s="110"/>
      <c r="H15" s="117" t="s">
        <v>265</v>
      </c>
      <c r="I15" s="202">
        <v>11000</v>
      </c>
      <c r="J15" s="219">
        <v>2750</v>
      </c>
      <c r="K15" s="113"/>
      <c r="L15" s="117" t="s">
        <v>265</v>
      </c>
      <c r="M15" s="203">
        <f>N15*4</f>
        <v>11200</v>
      </c>
      <c r="N15" s="220">
        <f>E26</f>
        <v>2800</v>
      </c>
      <c r="O15" s="113"/>
      <c r="P15" s="157"/>
      <c r="Q15" s="110"/>
      <c r="R15" s="110"/>
      <c r="S15" s="110"/>
      <c r="T15" s="110"/>
    </row>
    <row r="16" spans="1:20" ht="12.75">
      <c r="A16" s="119" t="s">
        <v>162</v>
      </c>
      <c r="B16" s="194">
        <f>'Oversikt Variabler'!B15</f>
        <v>600</v>
      </c>
      <c r="C16" s="194">
        <f>'Oversikt Variabler'!B15</f>
        <v>600</v>
      </c>
      <c r="D16" s="194">
        <f>'Oversikt Variabler'!B15</f>
        <v>600</v>
      </c>
      <c r="E16" s="194">
        <f>'Oversikt Variabler'!B15</f>
        <v>600</v>
      </c>
      <c r="F16" s="46"/>
      <c r="G16" s="157"/>
      <c r="H16" s="212"/>
      <c r="I16" s="213"/>
      <c r="J16" s="213"/>
      <c r="K16" s="157"/>
      <c r="L16" s="162"/>
      <c r="M16" s="202"/>
      <c r="N16" s="214"/>
      <c r="O16" s="157"/>
      <c r="P16" s="157"/>
      <c r="Q16" s="110"/>
      <c r="R16" s="110"/>
      <c r="S16" s="110"/>
      <c r="T16" s="110"/>
    </row>
    <row r="17" spans="1:20" ht="12.75">
      <c r="A17" s="119" t="s">
        <v>257</v>
      </c>
      <c r="B17" s="194">
        <f>'Oversikt Variabler'!B16</f>
        <v>0</v>
      </c>
      <c r="C17" s="194">
        <f>'Oversikt Variabler'!B16</f>
        <v>0</v>
      </c>
      <c r="D17" s="194">
        <f>'Oversikt Variabler'!B16</f>
        <v>0</v>
      </c>
      <c r="E17" s="194">
        <f>'Oversikt Variabler'!B16</f>
        <v>0</v>
      </c>
      <c r="F17" s="46"/>
      <c r="G17" s="110"/>
      <c r="H17" s="195" t="s">
        <v>272</v>
      </c>
      <c r="I17" s="196"/>
      <c r="J17" s="196"/>
      <c r="K17" s="113"/>
      <c r="L17" s="195" t="s">
        <v>272</v>
      </c>
      <c r="M17" s="196"/>
      <c r="N17" s="196"/>
      <c r="O17" s="113"/>
      <c r="P17" s="157"/>
      <c r="Q17" s="110"/>
      <c r="R17" s="110"/>
      <c r="S17" s="110"/>
      <c r="T17" s="110"/>
    </row>
    <row r="18" spans="1:20" ht="12.75">
      <c r="A18" s="119" t="s">
        <v>259</v>
      </c>
      <c r="B18" s="194">
        <f>'Oversikt Variabler'!B17</f>
        <v>600</v>
      </c>
      <c r="C18" s="194">
        <f>'Oversikt Variabler'!B17</f>
        <v>600</v>
      </c>
      <c r="D18" s="194">
        <f>'Oversikt Variabler'!B17</f>
        <v>600</v>
      </c>
      <c r="E18" s="194">
        <f>'Oversikt Variabler'!B17</f>
        <v>600</v>
      </c>
      <c r="F18" s="46"/>
      <c r="G18" s="110"/>
      <c r="H18" s="117" t="s">
        <v>273</v>
      </c>
      <c r="I18" s="202">
        <v>23000</v>
      </c>
      <c r="J18" s="219">
        <v>2300</v>
      </c>
      <c r="K18" s="113"/>
      <c r="L18" s="117" t="s">
        <v>273</v>
      </c>
      <c r="M18" s="203">
        <f>N18*10</f>
        <v>27000</v>
      </c>
      <c r="N18" s="221">
        <f>B38</f>
        <v>2700</v>
      </c>
      <c r="O18" s="113"/>
      <c r="P18" s="157"/>
      <c r="Q18" s="110"/>
      <c r="R18" s="110"/>
      <c r="S18" s="110"/>
      <c r="T18" s="110"/>
    </row>
    <row r="19" spans="1:20" ht="12.75">
      <c r="A19" s="119" t="s">
        <v>262</v>
      </c>
      <c r="B19" s="194">
        <f>'Oversikt Variabler'!B20</f>
        <v>550</v>
      </c>
      <c r="C19" s="194">
        <f>'Oversikt Variabler'!B20</f>
        <v>550</v>
      </c>
      <c r="D19" s="194">
        <f>'Oversikt Variabler'!B20</f>
        <v>550</v>
      </c>
      <c r="E19" s="194">
        <f>'Oversikt Variabler'!B20</f>
        <v>550</v>
      </c>
      <c r="F19" s="46"/>
      <c r="G19" s="157"/>
      <c r="H19" s="212"/>
      <c r="I19" s="213"/>
      <c r="J19" s="213"/>
      <c r="K19" s="157"/>
      <c r="L19" s="162"/>
      <c r="M19" s="202"/>
      <c r="N19" s="202"/>
      <c r="O19" s="157"/>
      <c r="P19" s="157"/>
      <c r="Q19" s="110"/>
      <c r="R19" s="110"/>
      <c r="S19" s="110"/>
      <c r="T19" s="110"/>
    </row>
    <row r="20" spans="1:20" ht="12.75">
      <c r="A20" s="119" t="s">
        <v>274</v>
      </c>
      <c r="B20" s="194">
        <f>'Oversikt Variabler'!B21</f>
        <v>750</v>
      </c>
      <c r="C20" s="194">
        <f>'Oversikt Variabler'!B21</f>
        <v>750</v>
      </c>
      <c r="D20" s="194">
        <f>'Oversikt Variabler'!B21</f>
        <v>750</v>
      </c>
      <c r="E20" s="194">
        <f>'Oversikt Variabler'!B21</f>
        <v>750</v>
      </c>
      <c r="F20" s="46"/>
      <c r="G20" s="110"/>
      <c r="H20" s="195" t="s">
        <v>214</v>
      </c>
      <c r="I20" s="196"/>
      <c r="J20" s="196"/>
      <c r="K20" s="113"/>
      <c r="L20" s="195" t="s">
        <v>214</v>
      </c>
      <c r="M20" s="196"/>
      <c r="N20" s="196"/>
      <c r="O20" s="222"/>
      <c r="P20" s="157"/>
      <c r="Q20" s="110"/>
      <c r="R20" s="110"/>
      <c r="S20" s="110"/>
      <c r="T20" s="110"/>
    </row>
    <row r="21" spans="1:20" ht="12.75">
      <c r="A21" s="119" t="s">
        <v>17</v>
      </c>
      <c r="B21" s="194">
        <f>'Oversikt Variabler'!B7*23*'Oversikt Variabler'!B3</f>
        <v>2739.3</v>
      </c>
      <c r="C21" s="194">
        <f>'Oversikt Variabler'!B7*23*'Oversikt Variabler'!B3</f>
        <v>2739.3</v>
      </c>
      <c r="D21" s="194">
        <f>'Oversikt Variabler'!B7*23*'Oversikt Variabler'!B3</f>
        <v>2739.3</v>
      </c>
      <c r="E21" s="194">
        <f>'Oversikt Variabler'!B7*23*'Oversikt Variabler'!B3</f>
        <v>2739.3</v>
      </c>
      <c r="F21" s="46"/>
      <c r="G21" s="110"/>
      <c r="H21" s="113" t="s">
        <v>275</v>
      </c>
      <c r="I21" s="196">
        <v>8750</v>
      </c>
      <c r="J21" s="196">
        <v>1750</v>
      </c>
      <c r="K21" s="198"/>
      <c r="L21" s="113" t="s">
        <v>276</v>
      </c>
      <c r="M21" s="199">
        <f>N21*6</f>
        <v>14100</v>
      </c>
      <c r="N21" s="199">
        <f>B50</f>
        <v>2350</v>
      </c>
      <c r="O21" s="222"/>
      <c r="P21" s="157"/>
      <c r="Q21" s="110"/>
      <c r="R21" s="110"/>
      <c r="S21" s="110"/>
      <c r="T21" s="110"/>
    </row>
    <row r="22" spans="1:20" ht="12.75">
      <c r="A22" s="119" t="s">
        <v>267</v>
      </c>
      <c r="B22" s="194">
        <f>'Oversikt Variabler'!B8*'Oversikt Variabler'!B3</f>
        <v>220</v>
      </c>
      <c r="C22" s="194">
        <f>'Oversikt Variabler'!B8*'Oversikt Variabler'!B3</f>
        <v>220</v>
      </c>
      <c r="D22" s="194">
        <f>'Oversikt Variabler'!B8*'Oversikt Variabler'!B3</f>
        <v>220</v>
      </c>
      <c r="E22" s="194">
        <f>'Oversikt Variabler'!B8*'Oversikt Variabler'!B3</f>
        <v>220</v>
      </c>
      <c r="F22" s="46"/>
      <c r="G22" s="110"/>
      <c r="H22" s="113"/>
      <c r="I22" s="196"/>
      <c r="J22" s="196"/>
      <c r="K22" s="198"/>
      <c r="L22" s="113" t="s">
        <v>277</v>
      </c>
      <c r="M22" s="199">
        <f>N22*6</f>
        <v>17100</v>
      </c>
      <c r="N22" s="199">
        <f>F50</f>
        <v>2850</v>
      </c>
      <c r="O22" s="222"/>
      <c r="P22" s="157"/>
      <c r="Q22" s="110"/>
      <c r="R22" s="110"/>
      <c r="S22" s="110"/>
      <c r="T22" s="110"/>
    </row>
    <row r="23" spans="1:20" ht="12.75">
      <c r="A23" s="209" t="s">
        <v>268</v>
      </c>
      <c r="B23" s="210">
        <f>SUM(B16:B22)</f>
        <v>5459.3</v>
      </c>
      <c r="C23" s="210">
        <f>SUM(C16:C22)</f>
        <v>5459.3</v>
      </c>
      <c r="D23" s="210">
        <f>SUM(D16:D22)</f>
        <v>5459.3</v>
      </c>
      <c r="E23" s="210">
        <f>SUM(E16:E22)</f>
        <v>5459.3</v>
      </c>
      <c r="F23" s="223"/>
      <c r="H23" s="113" t="s">
        <v>278</v>
      </c>
      <c r="I23" s="196">
        <v>12750</v>
      </c>
      <c r="J23" s="196">
        <v>2550</v>
      </c>
      <c r="K23" s="198"/>
      <c r="L23" s="113" t="s">
        <v>279</v>
      </c>
      <c r="M23" s="199">
        <f>N23*6</f>
        <v>19200</v>
      </c>
      <c r="N23" s="199">
        <f>C50</f>
        <v>3200</v>
      </c>
      <c r="O23" s="222"/>
      <c r="P23" s="157"/>
      <c r="Q23" s="110"/>
      <c r="R23" s="110"/>
      <c r="S23" s="110"/>
      <c r="T23" s="110"/>
    </row>
    <row r="24" spans="1:20" ht="12.75">
      <c r="A24" s="209"/>
      <c r="B24" s="210"/>
      <c r="C24" s="210"/>
      <c r="D24" s="210"/>
      <c r="E24" s="210"/>
      <c r="F24" s="223"/>
      <c r="H24" s="113"/>
      <c r="I24" s="196"/>
      <c r="J24" s="196"/>
      <c r="K24" s="198"/>
      <c r="L24" s="113" t="s">
        <v>280</v>
      </c>
      <c r="M24" s="199">
        <f>N24*6</f>
        <v>22200</v>
      </c>
      <c r="N24" s="199">
        <f>G50</f>
        <v>3700</v>
      </c>
      <c r="O24" s="222"/>
      <c r="P24" s="157"/>
      <c r="Q24" s="110"/>
      <c r="R24" s="110"/>
      <c r="S24" s="110"/>
      <c r="T24" s="110"/>
    </row>
    <row r="25" spans="1:20" ht="12.75">
      <c r="A25" s="158" t="s">
        <v>269</v>
      </c>
      <c r="B25" s="215">
        <f>B26-B23</f>
        <v>340.6999999999998</v>
      </c>
      <c r="C25" s="215">
        <f>C26-C23</f>
        <v>-659.3000000000002</v>
      </c>
      <c r="D25" s="215">
        <f>D26-D23</f>
        <v>-1659.3000000000002</v>
      </c>
      <c r="E25" s="215">
        <f>E26-E23</f>
        <v>-2659.3</v>
      </c>
      <c r="F25" s="46"/>
      <c r="G25" s="110"/>
      <c r="H25" s="113" t="s">
        <v>281</v>
      </c>
      <c r="I25" s="224"/>
      <c r="J25" s="196">
        <v>1950</v>
      </c>
      <c r="K25" s="198"/>
      <c r="L25" s="113" t="s">
        <v>281</v>
      </c>
      <c r="M25" s="224"/>
      <c r="N25" s="199">
        <f>D50</f>
        <v>2600</v>
      </c>
      <c r="O25" s="113"/>
      <c r="P25" s="157"/>
      <c r="Q25" s="110"/>
      <c r="R25" s="110"/>
      <c r="S25" s="110"/>
      <c r="T25" s="110"/>
    </row>
    <row r="26" spans="1:20" ht="12.75">
      <c r="A26" s="216" t="s">
        <v>270</v>
      </c>
      <c r="B26" s="225">
        <v>5800</v>
      </c>
      <c r="C26" s="225">
        <v>4800</v>
      </c>
      <c r="D26" s="225">
        <v>3800</v>
      </c>
      <c r="E26" s="225">
        <v>2800</v>
      </c>
      <c r="F26" s="223"/>
      <c r="H26" s="117" t="s">
        <v>282</v>
      </c>
      <c r="I26" s="202"/>
      <c r="J26" s="202">
        <v>2750</v>
      </c>
      <c r="K26" s="113"/>
      <c r="L26" s="117" t="s">
        <v>282</v>
      </c>
      <c r="M26" s="203"/>
      <c r="N26" s="203">
        <f>E50</f>
        <v>3450</v>
      </c>
      <c r="O26" s="113"/>
      <c r="P26" s="157"/>
      <c r="Q26" s="110"/>
      <c r="R26" s="110"/>
      <c r="S26" s="110"/>
      <c r="T26" s="110"/>
    </row>
    <row r="27" spans="1:20" ht="12.75">
      <c r="A27" s="110"/>
      <c r="B27" s="110"/>
      <c r="C27" s="110"/>
      <c r="D27" s="110"/>
      <c r="E27" s="110"/>
      <c r="F27" s="46"/>
      <c r="G27" s="157"/>
      <c r="H27" s="212"/>
      <c r="I27" s="202"/>
      <c r="J27" s="213"/>
      <c r="K27" s="157"/>
      <c r="L27" s="162"/>
      <c r="M27" s="202"/>
      <c r="N27" s="202"/>
      <c r="O27" s="157"/>
      <c r="P27" s="157"/>
      <c r="Q27" s="110"/>
      <c r="R27" s="110"/>
      <c r="S27" s="110"/>
      <c r="T27" s="110"/>
    </row>
    <row r="28" spans="1:20" ht="12.75">
      <c r="A28" s="7" t="s">
        <v>283</v>
      </c>
      <c r="B28" s="162"/>
      <c r="C28" s="162"/>
      <c r="D28" s="162"/>
      <c r="E28" s="162"/>
      <c r="F28" s="50"/>
      <c r="G28" s="46"/>
      <c r="H28" s="195" t="s">
        <v>215</v>
      </c>
      <c r="I28" s="224"/>
      <c r="J28" s="196"/>
      <c r="K28" s="113"/>
      <c r="L28" s="195" t="s">
        <v>215</v>
      </c>
      <c r="M28" s="206"/>
      <c r="N28" s="226"/>
      <c r="O28" s="113"/>
      <c r="P28" s="157"/>
      <c r="Q28" s="110"/>
      <c r="R28" s="110"/>
      <c r="S28" s="110"/>
      <c r="T28" s="110"/>
    </row>
    <row r="29" spans="1:20" ht="12.75">
      <c r="A29" s="190" t="s">
        <v>253</v>
      </c>
      <c r="B29" s="218" t="s">
        <v>284</v>
      </c>
      <c r="C29" s="110"/>
      <c r="D29" s="110"/>
      <c r="E29" s="110"/>
      <c r="F29" s="46"/>
      <c r="G29" s="110"/>
      <c r="H29" s="117" t="s">
        <v>285</v>
      </c>
      <c r="I29" s="202"/>
      <c r="J29" s="202">
        <v>4475</v>
      </c>
      <c r="K29" s="113"/>
      <c r="L29" s="117" t="s">
        <v>285</v>
      </c>
      <c r="M29" s="203"/>
      <c r="N29" s="203">
        <f>B61</f>
        <v>5250</v>
      </c>
      <c r="O29" s="113"/>
      <c r="P29" s="157"/>
      <c r="Q29" s="110"/>
      <c r="R29" s="110"/>
      <c r="S29" s="110"/>
      <c r="T29" s="110"/>
    </row>
    <row r="30" spans="1:20" ht="12.75">
      <c r="A30" s="119" t="s">
        <v>162</v>
      </c>
      <c r="B30" s="194">
        <f>'Oversikt Variabler'!B15</f>
        <v>600</v>
      </c>
      <c r="C30" s="110"/>
      <c r="D30" s="110"/>
      <c r="E30" s="110"/>
      <c r="F30" s="46"/>
      <c r="G30" s="157"/>
      <c r="H30" s="212"/>
      <c r="I30" s="202"/>
      <c r="J30" s="213"/>
      <c r="K30" s="157"/>
      <c r="L30" s="162"/>
      <c r="M30" s="203"/>
      <c r="N30" s="202"/>
      <c r="O30" s="157"/>
      <c r="P30" s="157"/>
      <c r="Q30" s="110"/>
      <c r="R30" s="110"/>
      <c r="S30" s="110"/>
      <c r="T30" s="110"/>
    </row>
    <row r="31" spans="1:20" ht="12.75">
      <c r="A31" s="119" t="s">
        <v>257</v>
      </c>
      <c r="B31" s="194">
        <f>'Oversikt Variabler'!B16</f>
        <v>0</v>
      </c>
      <c r="C31" s="110"/>
      <c r="D31" s="110"/>
      <c r="E31" s="110"/>
      <c r="F31" s="46"/>
      <c r="G31" s="110"/>
      <c r="H31" s="195" t="s">
        <v>213</v>
      </c>
      <c r="I31" s="224"/>
      <c r="J31" s="196"/>
      <c r="K31" s="113"/>
      <c r="L31" s="195" t="s">
        <v>213</v>
      </c>
      <c r="M31" s="224"/>
      <c r="N31" s="196"/>
      <c r="O31" s="113"/>
      <c r="P31" s="157"/>
      <c r="Q31" s="110"/>
      <c r="R31" s="110"/>
      <c r="S31" s="110"/>
      <c r="T31" s="110"/>
    </row>
    <row r="32" spans="1:20" ht="12.75">
      <c r="A32" s="119" t="s">
        <v>259</v>
      </c>
      <c r="B32" s="194">
        <f>'Oversikt Variabler'!B17</f>
        <v>600</v>
      </c>
      <c r="C32" s="110"/>
      <c r="D32" s="110"/>
      <c r="E32" s="110"/>
      <c r="F32" s="46"/>
      <c r="G32" s="110"/>
      <c r="H32" s="113" t="s">
        <v>286</v>
      </c>
      <c r="I32" s="224"/>
      <c r="J32" s="207">
        <v>2250</v>
      </c>
      <c r="K32" s="198"/>
      <c r="L32" s="113" t="s">
        <v>286</v>
      </c>
      <c r="M32" s="224"/>
      <c r="N32" s="207">
        <f>B72</f>
        <v>2550</v>
      </c>
      <c r="O32" s="113"/>
      <c r="P32" s="157"/>
      <c r="Q32" s="110"/>
      <c r="R32" s="110"/>
      <c r="S32" s="110"/>
      <c r="T32" s="110"/>
    </row>
    <row r="33" spans="1:20" ht="12.75">
      <c r="A33" s="119" t="s">
        <v>262</v>
      </c>
      <c r="B33" s="194">
        <f>'Oversikt Variabler'!B22</f>
        <v>350</v>
      </c>
      <c r="C33" s="110"/>
      <c r="D33" s="110"/>
      <c r="E33" s="110"/>
      <c r="F33" s="46"/>
      <c r="G33" s="157"/>
      <c r="H33" s="117" t="s">
        <v>287</v>
      </c>
      <c r="I33" s="203"/>
      <c r="J33" s="221">
        <v>2650</v>
      </c>
      <c r="K33" s="157"/>
      <c r="L33" s="117" t="s">
        <v>287</v>
      </c>
      <c r="M33" s="203"/>
      <c r="N33" s="221">
        <f>C72</f>
        <v>3050</v>
      </c>
      <c r="O33" s="113"/>
      <c r="P33" s="157"/>
      <c r="Q33" s="110"/>
      <c r="R33" s="110"/>
      <c r="S33" s="110"/>
      <c r="T33" s="110"/>
    </row>
    <row r="34" spans="1:20" ht="12.75">
      <c r="A34" s="119" t="s">
        <v>17</v>
      </c>
      <c r="B34" s="194">
        <f>'Oversikt Variabler'!B10*'Oversikt Variabler'!B3</f>
        <v>984.7</v>
      </c>
      <c r="C34" s="110"/>
      <c r="D34" s="110"/>
      <c r="E34" s="110"/>
      <c r="F34" s="46"/>
      <c r="G34" s="157"/>
      <c r="H34" s="157"/>
      <c r="I34" s="110"/>
      <c r="J34" s="157"/>
      <c r="K34" s="157"/>
      <c r="L34" s="157"/>
      <c r="M34" s="110"/>
      <c r="N34" s="110"/>
      <c r="O34" s="157"/>
      <c r="P34" s="157"/>
      <c r="Q34" s="110"/>
      <c r="R34" s="110"/>
      <c r="S34" s="110"/>
      <c r="T34" s="110"/>
    </row>
    <row r="35" spans="1:20" ht="12.75">
      <c r="A35" s="119" t="s">
        <v>267</v>
      </c>
      <c r="B35" s="194">
        <f>'Oversikt Variabler'!B8*'Oversikt Variabler'!B3</f>
        <v>220</v>
      </c>
      <c r="C35" s="110"/>
      <c r="D35" s="110"/>
      <c r="E35" s="110"/>
      <c r="F35" s="46"/>
      <c r="G35" s="157"/>
      <c r="H35" s="157"/>
      <c r="I35" s="110"/>
      <c r="J35" s="157"/>
      <c r="K35" s="157"/>
      <c r="L35" s="157"/>
      <c r="M35" s="110"/>
      <c r="N35" s="110"/>
      <c r="O35" s="157"/>
      <c r="P35" s="157"/>
      <c r="Q35" s="110"/>
      <c r="R35" s="110"/>
      <c r="S35" s="110"/>
      <c r="T35" s="110"/>
    </row>
    <row r="36" spans="1:20" ht="12.75">
      <c r="A36" s="209" t="s">
        <v>268</v>
      </c>
      <c r="B36" s="210">
        <f>SUM(B30:B35)</f>
        <v>2754.7</v>
      </c>
      <c r="C36" s="110"/>
      <c r="D36" s="110"/>
      <c r="E36" s="110"/>
      <c r="F36" s="46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</row>
    <row r="37" spans="1:20" ht="12.75">
      <c r="A37" s="158" t="s">
        <v>288</v>
      </c>
      <c r="B37" s="215">
        <f>B38-B36</f>
        <v>-54.69999999999982</v>
      </c>
      <c r="C37" s="110"/>
      <c r="D37" s="110"/>
      <c r="E37" s="110"/>
      <c r="F37" s="46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</row>
    <row r="38" spans="1:20" ht="12.75">
      <c r="A38" s="227" t="s">
        <v>270</v>
      </c>
      <c r="B38" s="217">
        <v>2700</v>
      </c>
      <c r="C38" s="110"/>
      <c r="D38" s="110"/>
      <c r="E38" s="110"/>
      <c r="F38" s="46"/>
      <c r="G38" s="110"/>
      <c r="H38" s="110"/>
      <c r="I38" s="110"/>
      <c r="J38" s="110"/>
      <c r="K38" s="110"/>
      <c r="L38" s="157"/>
      <c r="M38" s="110"/>
      <c r="N38" s="110"/>
      <c r="O38" s="110"/>
      <c r="P38" s="110"/>
      <c r="Q38" s="110"/>
      <c r="R38" s="110"/>
      <c r="S38" s="110"/>
      <c r="T38" s="110"/>
    </row>
    <row r="39" spans="1:20" ht="12.75">
      <c r="A39" s="110"/>
      <c r="B39" s="110"/>
      <c r="C39" s="110"/>
      <c r="D39" s="110"/>
      <c r="E39" s="110"/>
      <c r="F39" s="46"/>
      <c r="G39" s="110"/>
      <c r="H39" s="110"/>
      <c r="I39" s="110"/>
      <c r="J39" s="110"/>
      <c r="K39" s="110"/>
      <c r="L39" s="157"/>
      <c r="M39" s="110"/>
      <c r="N39" s="110"/>
      <c r="O39" s="110"/>
      <c r="P39" s="110"/>
      <c r="Q39" s="110"/>
      <c r="R39" s="110"/>
      <c r="S39" s="110"/>
      <c r="T39" s="110"/>
    </row>
    <row r="40" spans="1:20" ht="12.75">
      <c r="A40" s="7" t="s">
        <v>289</v>
      </c>
      <c r="B40" s="162"/>
      <c r="C40" s="162"/>
      <c r="D40" s="162"/>
      <c r="E40" s="162"/>
      <c r="F40" s="50"/>
      <c r="G40" s="157"/>
      <c r="H40" s="110"/>
      <c r="I40" s="110"/>
      <c r="J40" s="110"/>
      <c r="K40" s="110"/>
      <c r="L40" s="157"/>
      <c r="M40" s="110"/>
      <c r="N40" s="110"/>
      <c r="O40" s="110"/>
      <c r="P40" s="110"/>
      <c r="Q40" s="110"/>
      <c r="R40" s="110"/>
      <c r="S40" s="110"/>
      <c r="T40" s="110"/>
    </row>
    <row r="41" spans="1:20" ht="12.75">
      <c r="A41" s="190" t="s">
        <v>253</v>
      </c>
      <c r="B41" s="190" t="s">
        <v>290</v>
      </c>
      <c r="C41" s="190" t="s">
        <v>291</v>
      </c>
      <c r="D41" s="190" t="s">
        <v>292</v>
      </c>
      <c r="E41" s="190" t="s">
        <v>293</v>
      </c>
      <c r="F41" s="190" t="s">
        <v>294</v>
      </c>
      <c r="G41" s="228" t="s">
        <v>295</v>
      </c>
      <c r="H41" s="110"/>
      <c r="I41" s="110"/>
      <c r="J41" s="110"/>
      <c r="K41" s="110"/>
      <c r="L41" s="157"/>
      <c r="M41" s="110"/>
      <c r="N41" s="110"/>
      <c r="O41" s="110"/>
      <c r="P41" s="110"/>
      <c r="Q41" s="110"/>
      <c r="R41" s="110"/>
      <c r="S41" s="110"/>
      <c r="T41" s="110"/>
    </row>
    <row r="42" spans="1:20" ht="12.75">
      <c r="A42" s="119" t="s">
        <v>162</v>
      </c>
      <c r="B42" s="229">
        <f>'Oversikt Variabler'!B15</f>
        <v>600</v>
      </c>
      <c r="C42" s="229">
        <f>'Oversikt Variabler'!B15</f>
        <v>600</v>
      </c>
      <c r="D42" s="229">
        <f>'Oversikt Variabler'!B15</f>
        <v>600</v>
      </c>
      <c r="E42" s="230">
        <f>'Oversikt Variabler'!B15</f>
        <v>600</v>
      </c>
      <c r="F42" s="229">
        <f>'Oversikt Variabler'!B15</f>
        <v>600</v>
      </c>
      <c r="G42" s="231">
        <f>'Oversikt Variabler'!B15</f>
        <v>600</v>
      </c>
      <c r="H42" s="110"/>
      <c r="I42" s="110"/>
      <c r="J42" s="110"/>
      <c r="K42" s="110"/>
      <c r="L42" s="157"/>
      <c r="M42" s="110"/>
      <c r="N42" s="110"/>
      <c r="O42" s="110"/>
      <c r="P42" s="110"/>
      <c r="Q42" s="110"/>
      <c r="R42" s="110"/>
      <c r="S42" s="110"/>
      <c r="T42" s="110"/>
    </row>
    <row r="43" spans="1:20" ht="12.75">
      <c r="A43" s="119" t="s">
        <v>296</v>
      </c>
      <c r="B43" s="194">
        <f>'Oversikt Variabler'!B16</f>
        <v>0</v>
      </c>
      <c r="C43" s="194">
        <f>'Oversikt Variabler'!B16</f>
        <v>0</v>
      </c>
      <c r="D43" s="194">
        <f>'Oversikt Variabler'!B16</f>
        <v>0</v>
      </c>
      <c r="E43" s="232">
        <f>'Oversikt Variabler'!B16</f>
        <v>0</v>
      </c>
      <c r="F43" s="194">
        <f>'Oversikt Variabler'!B16</f>
        <v>0</v>
      </c>
      <c r="G43" s="233">
        <f>'Oversikt Variabler'!B16</f>
        <v>0</v>
      </c>
      <c r="H43" s="110"/>
      <c r="I43" s="110"/>
      <c r="J43" s="110"/>
      <c r="K43" s="110"/>
      <c r="L43" s="157"/>
      <c r="M43" s="110"/>
      <c r="N43" s="110"/>
      <c r="O43" s="110"/>
      <c r="P43" s="110"/>
      <c r="Q43" s="110"/>
      <c r="R43" s="110"/>
      <c r="S43" s="110"/>
      <c r="T43" s="110"/>
    </row>
    <row r="44" spans="1:20" ht="12.75">
      <c r="A44" s="119" t="s">
        <v>297</v>
      </c>
      <c r="B44" s="194">
        <f>'Oversikt Variabler'!B23</f>
        <v>550</v>
      </c>
      <c r="C44" s="194">
        <f>'Oversikt Variabler'!B23</f>
        <v>550</v>
      </c>
      <c r="D44" s="194"/>
      <c r="E44" s="194"/>
      <c r="F44" s="194">
        <f>'Oversikt Variabler'!B23</f>
        <v>550</v>
      </c>
      <c r="G44" s="233">
        <f>'Oversikt Variabler'!B23</f>
        <v>550</v>
      </c>
      <c r="H44" s="110"/>
      <c r="I44" s="110"/>
      <c r="J44" s="110"/>
      <c r="K44" s="110"/>
      <c r="L44" s="157"/>
      <c r="M44" s="110"/>
      <c r="N44" s="110"/>
      <c r="O44" s="110"/>
      <c r="P44" s="110"/>
      <c r="Q44" s="110"/>
      <c r="R44" s="110"/>
      <c r="S44" s="110"/>
      <c r="T44" s="110"/>
    </row>
    <row r="45" spans="1:20" ht="12.75">
      <c r="A45" s="119" t="s">
        <v>274</v>
      </c>
      <c r="B45" s="194"/>
      <c r="C45" s="194"/>
      <c r="D45" s="194">
        <f>'Oversikt Variabler'!B24</f>
        <v>800</v>
      </c>
      <c r="E45" s="232">
        <f>'Oversikt Variabler'!B24</f>
        <v>800</v>
      </c>
      <c r="F45" s="194">
        <f>'Oversikt Variabler'!B25</f>
        <v>500</v>
      </c>
      <c r="G45" s="234">
        <f>'Oversikt Variabler'!B25</f>
        <v>500</v>
      </c>
      <c r="H45" s="110"/>
      <c r="I45" s="110"/>
      <c r="J45" s="110"/>
      <c r="K45" s="110"/>
      <c r="L45" s="157"/>
      <c r="M45" s="110"/>
      <c r="N45" s="110"/>
      <c r="O45" s="110"/>
      <c r="P45" s="110"/>
      <c r="Q45" s="110"/>
      <c r="R45" s="110"/>
      <c r="S45" s="110"/>
      <c r="T45" s="110"/>
    </row>
    <row r="46" spans="1:20" ht="12.75">
      <c r="A46" s="119" t="s">
        <v>17</v>
      </c>
      <c r="B46" s="194">
        <f>'Oversikt Variabler'!B7*'Oversikt Variabler'!B3*8</f>
        <v>952.8</v>
      </c>
      <c r="C46" s="194">
        <f>'Oversikt Variabler'!B7*15*'Oversikt Variabler'!B3</f>
        <v>1786.5</v>
      </c>
      <c r="D46" s="194">
        <f>'Oversikt Variabler'!B7*8*'Oversikt Variabler'!B3</f>
        <v>952.8</v>
      </c>
      <c r="E46" s="232">
        <f>'Oversikt Variabler'!B7*15*'Oversikt Variabler'!B3</f>
        <v>1786.5</v>
      </c>
      <c r="F46" s="135">
        <f>'Oversikt Variabler'!B7*'Oversikt Variabler'!B3*8</f>
        <v>952.8</v>
      </c>
      <c r="G46" s="235">
        <f>'Oversikt Variabler'!B7*15*'Oversikt Variabler'!B3</f>
        <v>1786.5</v>
      </c>
      <c r="H46" s="110"/>
      <c r="I46" s="110"/>
      <c r="J46" s="110"/>
      <c r="K46" s="110"/>
      <c r="L46" s="157"/>
      <c r="M46" s="110"/>
      <c r="N46" s="110"/>
      <c r="O46" s="110"/>
      <c r="P46" s="110"/>
      <c r="Q46" s="110"/>
      <c r="R46" s="110"/>
      <c r="S46" s="110"/>
      <c r="T46" s="110"/>
    </row>
    <row r="47" spans="1:20" ht="12.75">
      <c r="A47" s="119" t="s">
        <v>267</v>
      </c>
      <c r="B47" s="194">
        <f>'Oversikt Variabler'!B8*'Oversikt Variabler'!B3</f>
        <v>220</v>
      </c>
      <c r="C47" s="194">
        <f>'Oversikt Variabler'!B8*'Oversikt Variabler'!B3</f>
        <v>220</v>
      </c>
      <c r="D47" s="194">
        <f>'Oversikt Variabler'!B8*'Oversikt Variabler'!B3</f>
        <v>220</v>
      </c>
      <c r="E47" s="232">
        <f>'Oversikt Variabler'!B8*'Oversikt Variabler'!B3</f>
        <v>220</v>
      </c>
      <c r="F47" s="135">
        <f>'Oversikt Variabler'!B8*'Oversikt Variabler'!B3</f>
        <v>220</v>
      </c>
      <c r="G47" s="235">
        <f>'Oversikt Variabler'!B8*'Oversikt Variabler'!B3</f>
        <v>220</v>
      </c>
      <c r="H47" s="110"/>
      <c r="I47" s="110"/>
      <c r="J47" s="110"/>
      <c r="K47" s="110"/>
      <c r="L47" s="157"/>
      <c r="M47" s="110"/>
      <c r="N47" s="110"/>
      <c r="O47" s="110"/>
      <c r="P47" s="110"/>
      <c r="Q47" s="110"/>
      <c r="R47" s="110"/>
      <c r="S47" s="110"/>
      <c r="T47" s="110"/>
    </row>
    <row r="48" spans="1:20" ht="12.75">
      <c r="A48" s="209" t="s">
        <v>268</v>
      </c>
      <c r="B48" s="210">
        <f>SUM(B42:B47)</f>
        <v>2322.8</v>
      </c>
      <c r="C48" s="210">
        <f>SUM(C42:C47)</f>
        <v>3156.5</v>
      </c>
      <c r="D48" s="210">
        <f>SUM(D42:D47)</f>
        <v>2572.8</v>
      </c>
      <c r="E48" s="210">
        <f>SUM(E42:E47)</f>
        <v>3406.5</v>
      </c>
      <c r="F48" s="210">
        <f>SUM(F42:F47)</f>
        <v>2822.8</v>
      </c>
      <c r="G48" s="210">
        <f>SUM(G42:G47)</f>
        <v>3656.5</v>
      </c>
      <c r="H48" s="110"/>
      <c r="I48" s="110"/>
      <c r="J48" s="110"/>
      <c r="K48" s="110"/>
      <c r="L48" s="157"/>
      <c r="M48" s="110"/>
      <c r="N48" s="110"/>
      <c r="O48" s="110"/>
      <c r="P48" s="110"/>
      <c r="Q48" s="110"/>
      <c r="R48" s="110"/>
      <c r="S48" s="110"/>
      <c r="T48" s="110"/>
    </row>
    <row r="49" spans="1:20" ht="12.75">
      <c r="A49" s="119" t="s">
        <v>288</v>
      </c>
      <c r="B49" s="194">
        <f>B50-B48</f>
        <v>27.199999999999818</v>
      </c>
      <c r="C49" s="194">
        <f>C50-C48</f>
        <v>43.5</v>
      </c>
      <c r="D49" s="194">
        <f>D50-D48</f>
        <v>27.199999999999818</v>
      </c>
      <c r="E49" s="232">
        <f>E50-E48</f>
        <v>43.5</v>
      </c>
      <c r="F49" s="194">
        <f>F50-F48</f>
        <v>27.199999999999818</v>
      </c>
      <c r="G49" s="194">
        <f>G50-G48</f>
        <v>43.5</v>
      </c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</row>
    <row r="50" spans="1:20" ht="12.75">
      <c r="A50" s="227" t="s">
        <v>270</v>
      </c>
      <c r="B50" s="217">
        <v>2350</v>
      </c>
      <c r="C50" s="217">
        <v>3200</v>
      </c>
      <c r="D50" s="217">
        <v>2600</v>
      </c>
      <c r="E50" s="236">
        <v>3450</v>
      </c>
      <c r="F50" s="217">
        <v>2850</v>
      </c>
      <c r="G50" s="217">
        <v>3700</v>
      </c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</row>
    <row r="51" spans="1:20" ht="12.75">
      <c r="A51" s="110"/>
      <c r="B51" s="110"/>
      <c r="C51" s="110"/>
      <c r="D51" s="110"/>
      <c r="E51" s="110"/>
      <c r="F51" s="46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</row>
    <row r="52" spans="1:20" ht="12.75">
      <c r="A52" s="7" t="s">
        <v>298</v>
      </c>
      <c r="B52" s="162"/>
      <c r="C52" s="162"/>
      <c r="D52" s="162"/>
      <c r="E52" s="162"/>
      <c r="F52" s="5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</row>
    <row r="53" spans="1:20" ht="12.75">
      <c r="A53" s="190" t="s">
        <v>253</v>
      </c>
      <c r="B53" s="218" t="s">
        <v>284</v>
      </c>
      <c r="C53" s="110"/>
      <c r="D53" s="110"/>
      <c r="E53" s="110"/>
      <c r="F53" s="46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</row>
    <row r="54" spans="1:20" ht="12.75">
      <c r="A54" s="119" t="s">
        <v>162</v>
      </c>
      <c r="B54" s="232">
        <f>'Oversikt Variabler'!B15</f>
        <v>600</v>
      </c>
      <c r="C54" s="113"/>
      <c r="D54" s="110"/>
      <c r="E54" s="110"/>
      <c r="F54" s="46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</row>
    <row r="55" spans="1:20" ht="12.75">
      <c r="A55" s="119" t="s">
        <v>257</v>
      </c>
      <c r="B55" s="232">
        <f>'Oversikt Variabler'!B16</f>
        <v>0</v>
      </c>
      <c r="C55" s="113"/>
      <c r="D55" s="110"/>
      <c r="E55" s="110"/>
      <c r="F55" s="46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</row>
    <row r="56" spans="1:20" ht="12.75">
      <c r="A56" s="119" t="s">
        <v>274</v>
      </c>
      <c r="B56" s="232">
        <f>'Oversikt Variabler'!B27</f>
        <v>2000</v>
      </c>
      <c r="C56" s="113"/>
      <c r="D56" s="110"/>
      <c r="E56" s="110"/>
      <c r="F56" s="46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</row>
    <row r="57" spans="1:20" ht="12.75">
      <c r="A57" s="119" t="s">
        <v>299</v>
      </c>
      <c r="B57" s="232">
        <f>'Oversikt Variabler'!B7*21*'Oversikt Variabler'!B3</f>
        <v>2501.1000000000004</v>
      </c>
      <c r="C57" s="113"/>
      <c r="D57" s="110"/>
      <c r="E57" s="110"/>
      <c r="F57" s="46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</row>
    <row r="58" spans="1:20" ht="12.75">
      <c r="A58" s="119" t="s">
        <v>267</v>
      </c>
      <c r="B58" s="232">
        <f>'Oversikt Variabler'!B8*'Oversikt Variabler'!B3</f>
        <v>220</v>
      </c>
      <c r="C58" s="113"/>
      <c r="D58" s="110"/>
      <c r="E58" s="110"/>
      <c r="F58" s="46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</row>
    <row r="59" spans="1:20" ht="12.75">
      <c r="A59" s="209" t="s">
        <v>268</v>
      </c>
      <c r="B59" s="237">
        <f>SUM(B53:B58)</f>
        <v>5321.1</v>
      </c>
      <c r="C59" s="113"/>
      <c r="D59" s="110"/>
      <c r="E59" s="110"/>
      <c r="F59" s="46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ht="12.75">
      <c r="A60" s="119" t="s">
        <v>288</v>
      </c>
      <c r="B60" s="232">
        <f>B61-B59</f>
        <v>-71.10000000000036</v>
      </c>
      <c r="C60" s="113"/>
      <c r="D60" s="110"/>
      <c r="E60" s="110"/>
      <c r="F60" s="46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</row>
    <row r="61" spans="1:20" ht="12.75">
      <c r="A61" s="227" t="s">
        <v>270</v>
      </c>
      <c r="B61" s="236">
        <v>5250</v>
      </c>
      <c r="C61" s="113"/>
      <c r="D61" s="110"/>
      <c r="E61" s="110"/>
      <c r="F61" s="46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</row>
    <row r="62" spans="1:20" ht="12.75">
      <c r="A62" s="110"/>
      <c r="B62" s="110"/>
      <c r="C62" s="110"/>
      <c r="D62" s="110"/>
      <c r="E62" s="110"/>
      <c r="F62" s="46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</row>
    <row r="63" spans="1:20" ht="12.75">
      <c r="A63" s="7" t="s">
        <v>213</v>
      </c>
      <c r="B63" s="162"/>
      <c r="C63" s="162"/>
      <c r="D63" s="162"/>
      <c r="E63" s="162"/>
      <c r="F63" s="5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</row>
    <row r="64" spans="1:20" ht="12.75">
      <c r="A64" s="190" t="s">
        <v>253</v>
      </c>
      <c r="B64" s="238" t="s">
        <v>300</v>
      </c>
      <c r="C64" s="218" t="s">
        <v>301</v>
      </c>
      <c r="D64" s="113"/>
      <c r="E64" s="110"/>
      <c r="F64" s="46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</row>
    <row r="65" spans="1:20" ht="12.75">
      <c r="A65" s="119" t="s">
        <v>162</v>
      </c>
      <c r="B65" s="194">
        <f>'Oversikt Variabler'!B15</f>
        <v>600</v>
      </c>
      <c r="C65" s="232">
        <f>'Oversikt Variabler'!B15</f>
        <v>600</v>
      </c>
      <c r="D65" s="113"/>
      <c r="E65" s="110"/>
      <c r="F65" s="46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</row>
    <row r="66" spans="1:20" ht="12.75">
      <c r="A66" s="119" t="s">
        <v>257</v>
      </c>
      <c r="B66" s="194">
        <f>'Oversikt Variabler'!B16</f>
        <v>0</v>
      </c>
      <c r="C66" s="232">
        <f>'Oversikt Variabler'!B16</f>
        <v>0</v>
      </c>
      <c r="D66" s="113"/>
      <c r="E66" s="110"/>
      <c r="F66" s="46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</row>
    <row r="67" spans="1:20" ht="12.75">
      <c r="A67" s="119" t="s">
        <v>274</v>
      </c>
      <c r="B67" s="194">
        <f>'Oversikt Variabler'!B26</f>
        <v>800</v>
      </c>
      <c r="C67" s="232">
        <f>'Oversikt Variabler'!B26</f>
        <v>800</v>
      </c>
      <c r="D67" s="113"/>
      <c r="E67" s="110"/>
      <c r="F67" s="46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</row>
    <row r="68" spans="1:20" ht="12.75">
      <c r="A68" s="119" t="s">
        <v>302</v>
      </c>
      <c r="B68" s="194">
        <f>'Oversikt Variabler'!B9*18*'Oversikt Variabler'!B3</f>
        <v>1170</v>
      </c>
      <c r="C68" s="232">
        <f>'Oversikt Variabler'!B9*23*'Oversikt Variabler'!B3</f>
        <v>1495</v>
      </c>
      <c r="D68" s="113"/>
      <c r="E68" s="110"/>
      <c r="F68" s="46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2.75">
      <c r="A69" s="119" t="s">
        <v>267</v>
      </c>
      <c r="B69" s="194">
        <f>'Oversikt Variabler'!B8*'Oversikt Variabler'!B3</f>
        <v>220</v>
      </c>
      <c r="C69" s="232">
        <f>'Oversikt Variabler'!B8*'Oversikt Variabler'!B3</f>
        <v>220</v>
      </c>
      <c r="D69" s="113"/>
      <c r="E69" s="110"/>
      <c r="F69" s="46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</row>
    <row r="70" spans="1:20" ht="12.75">
      <c r="A70" s="209" t="s">
        <v>268</v>
      </c>
      <c r="B70" s="210">
        <f>SUM(B64:B69)</f>
        <v>2790</v>
      </c>
      <c r="C70" s="210">
        <f>SUM(C64:C69)</f>
        <v>3115</v>
      </c>
      <c r="D70" s="113"/>
      <c r="E70" s="110"/>
      <c r="F70" s="46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ht="12.75">
      <c r="A71" s="119" t="s">
        <v>288</v>
      </c>
      <c r="B71" s="194">
        <f>B72-B70</f>
        <v>-240</v>
      </c>
      <c r="C71" s="232">
        <f>C72-C70</f>
        <v>-65</v>
      </c>
      <c r="D71" s="113"/>
      <c r="E71" s="110"/>
      <c r="F71" s="46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</row>
    <row r="72" spans="1:20" ht="12.75">
      <c r="A72" s="227" t="s">
        <v>270</v>
      </c>
      <c r="B72" s="217">
        <v>2550</v>
      </c>
      <c r="C72" s="236">
        <v>3050</v>
      </c>
      <c r="D72" s="113"/>
      <c r="E72" s="110"/>
      <c r="F72" s="46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spans="1:20" ht="12.75">
      <c r="A73" s="110"/>
      <c r="B73" s="110"/>
      <c r="C73" s="110"/>
      <c r="D73" s="110"/>
      <c r="E73" s="110"/>
      <c r="F73" s="46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</row>
    <row r="74" spans="1:20" ht="12.75">
      <c r="A74" s="162"/>
      <c r="B74" s="162"/>
      <c r="C74" s="162"/>
      <c r="D74" s="162"/>
      <c r="E74" s="162"/>
      <c r="F74" s="5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</row>
    <row r="75" spans="1:20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</row>
    <row r="76" spans="1:20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</row>
    <row r="77" spans="1:20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</row>
    <row r="78" spans="1:20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</row>
    <row r="79" spans="1:20" ht="12.75" customHeight="1">
      <c r="A79" s="157"/>
      <c r="B79" s="196"/>
      <c r="C79" s="196"/>
      <c r="D79" s="157"/>
      <c r="E79" s="157"/>
      <c r="F79" s="199"/>
      <c r="G79" s="20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</row>
    <row r="80" spans="1:20" ht="12.75">
      <c r="A80" s="157"/>
      <c r="B80" s="196"/>
      <c r="C80" s="196"/>
      <c r="D80" s="157"/>
      <c r="E80" s="157"/>
      <c r="F80" s="199"/>
      <c r="G80" s="20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</row>
    <row r="81" spans="1:20" ht="12.75">
      <c r="A81" s="239"/>
      <c r="B81" s="196"/>
      <c r="C81" s="196"/>
      <c r="D81" s="157"/>
      <c r="E81" s="239"/>
      <c r="F81" s="196"/>
      <c r="G81" s="197"/>
      <c r="O81" s="110"/>
      <c r="P81" s="110"/>
      <c r="Q81" s="110"/>
      <c r="R81" s="110"/>
      <c r="S81" s="110"/>
      <c r="T81" s="110"/>
    </row>
    <row r="82" spans="1:7" ht="12.75">
      <c r="A82" s="157"/>
      <c r="B82" s="196"/>
      <c r="C82" s="196"/>
      <c r="D82" s="157"/>
      <c r="E82" s="157"/>
      <c r="F82" s="199"/>
      <c r="G82" s="200"/>
    </row>
    <row r="83" spans="1:7" ht="12.75">
      <c r="A83" s="157"/>
      <c r="B83" s="196"/>
      <c r="C83" s="196"/>
      <c r="D83" s="157"/>
      <c r="E83" s="157"/>
      <c r="F83" s="199"/>
      <c r="G83" s="200"/>
    </row>
    <row r="84" spans="1:7" ht="12.75">
      <c r="A84" s="157"/>
      <c r="B84" s="196"/>
      <c r="C84" s="196"/>
      <c r="D84" s="157"/>
      <c r="E84" s="157"/>
      <c r="F84" s="199"/>
      <c r="G84" s="200"/>
    </row>
    <row r="85" spans="1:7" ht="12.75">
      <c r="A85" s="157"/>
      <c r="B85" s="196"/>
      <c r="C85" s="196"/>
      <c r="D85" s="157"/>
      <c r="E85" s="157"/>
      <c r="F85" s="199"/>
      <c r="G85" s="200"/>
    </row>
    <row r="86" spans="1:7" ht="12.75">
      <c r="A86" s="157"/>
      <c r="B86" s="205"/>
      <c r="C86" s="206"/>
      <c r="D86" s="157"/>
      <c r="E86" s="157"/>
      <c r="F86" s="207"/>
      <c r="G86" s="208"/>
    </row>
    <row r="87" spans="1:7" ht="12.75">
      <c r="A87" s="157"/>
      <c r="B87" s="205"/>
      <c r="C87" s="206"/>
      <c r="D87" s="157"/>
      <c r="E87" s="157"/>
      <c r="F87" s="207"/>
      <c r="G87" s="208"/>
    </row>
    <row r="88" spans="1:7" ht="12.75">
      <c r="A88" s="157"/>
      <c r="B88" s="206"/>
      <c r="C88" s="206"/>
      <c r="D88" s="157"/>
      <c r="E88" s="157"/>
      <c r="F88" s="206"/>
      <c r="G88" s="240"/>
    </row>
    <row r="89" spans="1:7" ht="12.75">
      <c r="A89" s="239"/>
      <c r="B89" s="196"/>
      <c r="C89" s="196"/>
      <c r="D89" s="157"/>
      <c r="E89" s="239"/>
      <c r="F89" s="196"/>
      <c r="G89" s="197"/>
    </row>
    <row r="90" spans="1:7" ht="12.75">
      <c r="A90" s="157"/>
      <c r="B90" s="196"/>
      <c r="C90" s="196"/>
      <c r="D90" s="157"/>
      <c r="E90" s="157"/>
      <c r="F90" s="199"/>
      <c r="G90" s="200"/>
    </row>
    <row r="91" spans="1:7" ht="12.75">
      <c r="A91" s="157"/>
      <c r="B91" s="196"/>
      <c r="C91" s="196"/>
      <c r="D91" s="157"/>
      <c r="E91" s="157"/>
      <c r="F91" s="199"/>
      <c r="G91" s="200"/>
    </row>
    <row r="92" spans="1:7" ht="12.75">
      <c r="A92" s="157"/>
      <c r="B92" s="196"/>
      <c r="C92" s="196"/>
      <c r="D92" s="157"/>
      <c r="E92" s="157"/>
      <c r="F92" s="199"/>
      <c r="G92" s="200"/>
    </row>
    <row r="93" spans="1:7" ht="12.75">
      <c r="A93" s="157"/>
      <c r="B93" s="206"/>
      <c r="C93" s="206"/>
      <c r="D93" s="157"/>
      <c r="E93" s="157"/>
      <c r="F93" s="207"/>
      <c r="G93" s="208"/>
    </row>
    <row r="94" spans="1:7" ht="12.75">
      <c r="A94" s="157"/>
      <c r="B94" s="206"/>
      <c r="C94" s="206"/>
      <c r="D94" s="157"/>
      <c r="E94" s="157"/>
      <c r="F94" s="206"/>
      <c r="G94" s="240"/>
    </row>
    <row r="95" spans="1:7" ht="12.75">
      <c r="A95" s="239"/>
      <c r="B95" s="196"/>
      <c r="C95" s="196"/>
      <c r="D95" s="157"/>
      <c r="E95" s="239"/>
      <c r="F95" s="196"/>
      <c r="G95" s="196"/>
    </row>
    <row r="96" spans="1:7" ht="12.75">
      <c r="A96" s="157"/>
      <c r="B96" s="206"/>
      <c r="C96" s="206"/>
      <c r="D96" s="157"/>
      <c r="E96" s="157"/>
      <c r="F96" s="207"/>
      <c r="G96" s="207"/>
    </row>
    <row r="97" spans="1:7" ht="12.75">
      <c r="A97" s="157"/>
      <c r="B97" s="206"/>
      <c r="C97" s="206"/>
      <c r="D97" s="157"/>
      <c r="E97" s="157"/>
      <c r="F97" s="206"/>
      <c r="G97" s="206"/>
    </row>
    <row r="98" spans="1:7" ht="12.75">
      <c r="A98" s="239"/>
      <c r="B98" s="196"/>
      <c r="C98" s="196"/>
      <c r="D98" s="157"/>
      <c r="E98" s="239"/>
      <c r="F98" s="196"/>
      <c r="G98" s="196"/>
    </row>
    <row r="99" spans="1:7" ht="12.75">
      <c r="A99" s="157"/>
      <c r="B99" s="196"/>
      <c r="C99" s="196"/>
      <c r="D99" s="157"/>
      <c r="E99" s="157"/>
      <c r="F99" s="199"/>
      <c r="G99" s="199"/>
    </row>
    <row r="100" spans="1:7" ht="12.75">
      <c r="A100" s="157"/>
      <c r="B100" s="196"/>
      <c r="C100" s="196"/>
      <c r="D100" s="157"/>
      <c r="E100" s="157"/>
      <c r="F100" s="199"/>
      <c r="G100" s="199"/>
    </row>
    <row r="101" spans="1:7" ht="12.75">
      <c r="A101" s="157"/>
      <c r="B101" s="196"/>
      <c r="C101" s="196"/>
      <c r="D101" s="157"/>
      <c r="E101" s="157"/>
      <c r="F101" s="199"/>
      <c r="G101" s="199"/>
    </row>
    <row r="102" spans="1:7" ht="12.75">
      <c r="A102" s="157"/>
      <c r="B102" s="196"/>
      <c r="C102" s="196"/>
      <c r="D102" s="157"/>
      <c r="E102" s="157"/>
      <c r="F102" s="199"/>
      <c r="G102" s="199"/>
    </row>
    <row r="103" spans="1:7" ht="12.75">
      <c r="A103" s="157"/>
      <c r="B103" s="224"/>
      <c r="C103" s="196"/>
      <c r="D103" s="157"/>
      <c r="E103" s="157"/>
      <c r="F103" s="224"/>
      <c r="G103" s="199"/>
    </row>
    <row r="104" spans="1:7" ht="12.75">
      <c r="A104" s="157"/>
      <c r="B104" s="206"/>
      <c r="C104" s="206"/>
      <c r="D104" s="157"/>
      <c r="E104" s="157"/>
      <c r="F104" s="207"/>
      <c r="G104" s="207"/>
    </row>
    <row r="105" spans="1:7" ht="12.75">
      <c r="A105" s="157"/>
      <c r="B105" s="206"/>
      <c r="C105" s="206"/>
      <c r="D105" s="157"/>
      <c r="E105" s="157"/>
      <c r="F105" s="206"/>
      <c r="G105" s="206"/>
    </row>
    <row r="106" spans="1:7" ht="12.75">
      <c r="A106" s="239"/>
      <c r="B106" s="224"/>
      <c r="C106" s="196"/>
      <c r="D106" s="157"/>
      <c r="E106" s="239"/>
      <c r="F106" s="206"/>
      <c r="G106" s="206"/>
    </row>
    <row r="107" spans="1:7" ht="12.75">
      <c r="A107" s="157"/>
      <c r="B107" s="206"/>
      <c r="C107" s="206"/>
      <c r="D107" s="157"/>
      <c r="E107" s="157"/>
      <c r="F107" s="207"/>
      <c r="G107" s="207"/>
    </row>
    <row r="108" spans="1:7" ht="12.75">
      <c r="A108" s="157"/>
      <c r="B108" s="206"/>
      <c r="C108" s="206"/>
      <c r="D108" s="157"/>
      <c r="E108" s="157"/>
      <c r="F108" s="207"/>
      <c r="G108" s="206"/>
    </row>
    <row r="109" spans="1:7" ht="12.75">
      <c r="A109" s="239"/>
      <c r="B109" s="224"/>
      <c r="C109" s="196"/>
      <c r="D109" s="157"/>
      <c r="E109" s="239"/>
      <c r="F109" s="224"/>
      <c r="G109" s="196"/>
    </row>
    <row r="110" spans="1:7" ht="12.75">
      <c r="A110" s="157"/>
      <c r="B110" s="224"/>
      <c r="C110" s="207"/>
      <c r="D110" s="157"/>
      <c r="E110" s="157"/>
      <c r="F110" s="224"/>
      <c r="G110" s="207"/>
    </row>
    <row r="111" spans="1:7" ht="12.75">
      <c r="A111" s="157"/>
      <c r="B111" s="207"/>
      <c r="C111" s="207"/>
      <c r="D111" s="157"/>
      <c r="E111" s="157"/>
      <c r="F111" s="207"/>
      <c r="G111" s="207"/>
    </row>
  </sheetData>
  <sheetProtection selectLockedCells="1" selectUnlockedCells="1"/>
  <mergeCells count="4">
    <mergeCell ref="H1:H2"/>
    <mergeCell ref="J1:J2"/>
    <mergeCell ref="L1:L2"/>
    <mergeCell ref="N1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showGridLines="0" zoomScale="60" zoomScaleNormal="60" workbookViewId="0" topLeftCell="A48">
      <selection activeCell="A72" sqref="A72"/>
    </sheetView>
  </sheetViews>
  <sheetFormatPr defaultColWidth="12.57421875" defaultRowHeight="12.75"/>
  <cols>
    <col min="1" max="1" width="51.7109375" style="110" customWidth="1"/>
    <col min="2" max="2" width="23.7109375" style="110" customWidth="1"/>
    <col min="3" max="3" width="17.7109375" style="110" customWidth="1"/>
    <col min="4" max="4" width="19.7109375" style="110" customWidth="1"/>
    <col min="5" max="5" width="21.421875" style="110" customWidth="1"/>
    <col min="6" max="6" width="21.00390625" style="110" customWidth="1"/>
    <col min="7" max="7" width="14.28125" style="110" customWidth="1"/>
    <col min="8" max="16384" width="12.57421875" style="110" customWidth="1"/>
  </cols>
  <sheetData>
    <row r="1" spans="1:8" ht="12.75">
      <c r="A1" s="7" t="s">
        <v>303</v>
      </c>
      <c r="B1" s="162"/>
      <c r="C1" s="162"/>
      <c r="D1" s="162"/>
      <c r="E1" s="162"/>
      <c r="F1" s="162"/>
      <c r="G1" s="162"/>
      <c r="H1" s="162"/>
    </row>
    <row r="3" spans="1:2" ht="12.75">
      <c r="A3" s="110" t="s">
        <v>304</v>
      </c>
      <c r="B3" s="241">
        <f>'Oversikt Variabler'!E102</f>
        <v>1019143</v>
      </c>
    </row>
    <row r="4" spans="1:2" ht="12.75">
      <c r="A4" s="110" t="s">
        <v>305</v>
      </c>
      <c r="B4" s="241">
        <f>'Oversikt Variabler'!B104</f>
        <v>468900</v>
      </c>
    </row>
    <row r="5" spans="1:2" ht="12.75">
      <c r="A5" s="110" t="s">
        <v>162</v>
      </c>
      <c r="B5" s="241">
        <f>Program!H21</f>
        <v>232800</v>
      </c>
    </row>
    <row r="6" spans="1:2" ht="12.75">
      <c r="A6" s="110" t="s">
        <v>306</v>
      </c>
      <c r="B6" s="241">
        <f>'Oversikt Variabler'!B11*'Oversikt Variabler'!B3*14</f>
        <v>11200</v>
      </c>
    </row>
    <row r="7" spans="1:2" ht="12.75">
      <c r="A7" s="110" t="s">
        <v>10</v>
      </c>
      <c r="B7" s="242">
        <v>300000</v>
      </c>
    </row>
    <row r="8" spans="1:2" ht="12.75">
      <c r="A8" s="110" t="s">
        <v>307</v>
      </c>
      <c r="B8" s="242">
        <v>500000</v>
      </c>
    </row>
    <row r="9" spans="1:2" ht="12.75">
      <c r="A9" s="110" t="s">
        <v>308</v>
      </c>
      <c r="B9" s="242">
        <v>120000</v>
      </c>
    </row>
    <row r="10" spans="1:2" ht="12.75">
      <c r="A10" s="110" t="s">
        <v>309</v>
      </c>
      <c r="B10" s="241">
        <f>'Oversikt Variabler'!B12*'Oversikt Variabler'!B3*14</f>
        <v>14000</v>
      </c>
    </row>
    <row r="11" spans="1:2" ht="12.75">
      <c r="A11" s="110" t="s">
        <v>20</v>
      </c>
      <c r="B11" s="242">
        <v>160000</v>
      </c>
    </row>
    <row r="12" spans="1:2" ht="12.75">
      <c r="A12" s="110" t="s">
        <v>310</v>
      </c>
      <c r="B12" s="241">
        <f>Prosjekter!G13</f>
        <v>140000</v>
      </c>
    </row>
    <row r="13" spans="1:4" ht="12.75">
      <c r="A13" s="110" t="s">
        <v>311</v>
      </c>
      <c r="B13" s="242">
        <v>475000</v>
      </c>
      <c r="C13" s="243"/>
      <c r="D13" s="243"/>
    </row>
    <row r="14" spans="1:2" ht="12.75">
      <c r="A14" s="110" t="s">
        <v>312</v>
      </c>
      <c r="B14" s="242">
        <v>30000</v>
      </c>
    </row>
    <row r="15" spans="1:2" ht="12.75">
      <c r="A15" s="110" t="s">
        <v>313</v>
      </c>
      <c r="B15" s="241">
        <f>SUM(B46:B48)</f>
        <v>110000</v>
      </c>
    </row>
    <row r="16" spans="1:2" ht="12.75">
      <c r="A16" s="244" t="s">
        <v>314</v>
      </c>
      <c r="B16" s="245">
        <f>SUM(B3:B15)</f>
        <v>3581043</v>
      </c>
    </row>
    <row r="18" spans="1:8" ht="12.75">
      <c r="A18" s="7" t="s">
        <v>315</v>
      </c>
      <c r="B18" s="162"/>
      <c r="C18" s="162"/>
      <c r="D18" s="162"/>
      <c r="E18" s="162"/>
      <c r="F18" s="162"/>
      <c r="G18" s="162"/>
      <c r="H18" s="162"/>
    </row>
    <row r="19" spans="1:7" ht="12.75">
      <c r="A19" s="212" t="s">
        <v>316</v>
      </c>
      <c r="B19" s="246" t="s">
        <v>317</v>
      </c>
      <c r="C19" s="246" t="s">
        <v>318</v>
      </c>
      <c r="D19" s="246" t="s">
        <v>319</v>
      </c>
      <c r="E19" s="246" t="s">
        <v>320</v>
      </c>
      <c r="F19" s="114" t="s">
        <v>321</v>
      </c>
      <c r="G19" s="247"/>
    </row>
    <row r="20" spans="1:7" ht="12.75">
      <c r="A20" s="248" t="s">
        <v>322</v>
      </c>
      <c r="B20" s="246"/>
      <c r="C20" s="246"/>
      <c r="D20" s="246"/>
      <c r="E20" s="114"/>
      <c r="F20" s="246"/>
      <c r="G20" s="113"/>
    </row>
    <row r="21" spans="1:7" ht="12.75">
      <c r="A21" s="110" t="s">
        <v>323</v>
      </c>
      <c r="B21" s="249">
        <v>20000</v>
      </c>
      <c r="C21" s="249"/>
      <c r="D21" s="249">
        <v>4200</v>
      </c>
      <c r="E21" s="249"/>
      <c r="F21" s="250"/>
      <c r="G21" s="251"/>
    </row>
    <row r="22" spans="1:7" ht="12.75">
      <c r="A22" s="110" t="s">
        <v>324</v>
      </c>
      <c r="B22" s="249">
        <v>19000</v>
      </c>
      <c r="C22" s="249"/>
      <c r="D22" s="249">
        <v>100000</v>
      </c>
      <c r="E22" s="249"/>
      <c r="F22" s="250"/>
      <c r="G22" s="251"/>
    </row>
    <row r="23" spans="1:7" ht="12.75">
      <c r="A23" s="110" t="s">
        <v>325</v>
      </c>
      <c r="B23" s="249">
        <v>5000</v>
      </c>
      <c r="C23" s="249"/>
      <c r="D23" s="249"/>
      <c r="E23" s="249">
        <v>7000</v>
      </c>
      <c r="F23" s="250"/>
      <c r="G23" s="251"/>
    </row>
    <row r="24" spans="1:7" ht="12.75">
      <c r="A24" s="110" t="s">
        <v>326</v>
      </c>
      <c r="B24" s="249"/>
      <c r="C24" s="249"/>
      <c r="D24" s="249"/>
      <c r="E24" s="249"/>
      <c r="F24" s="250">
        <v>220000</v>
      </c>
      <c r="G24" s="251"/>
    </row>
    <row r="25" spans="1:7" ht="12.75">
      <c r="A25" s="110" t="s">
        <v>327</v>
      </c>
      <c r="B25" s="249">
        <v>5000</v>
      </c>
      <c r="C25" s="249"/>
      <c r="D25" s="249"/>
      <c r="E25" s="249">
        <v>7000</v>
      </c>
      <c r="F25" s="250"/>
      <c r="G25" s="251"/>
    </row>
    <row r="26" spans="1:7" ht="12.75">
      <c r="A26" s="110" t="s">
        <v>328</v>
      </c>
      <c r="B26" s="249">
        <v>30000</v>
      </c>
      <c r="C26" s="249"/>
      <c r="D26" s="249"/>
      <c r="E26" s="249"/>
      <c r="F26" s="250"/>
      <c r="G26" s="251"/>
    </row>
    <row r="27" spans="1:7" ht="12.75">
      <c r="A27" s="248" t="s">
        <v>329</v>
      </c>
      <c r="B27" s="252"/>
      <c r="C27" s="252"/>
      <c r="D27" s="252"/>
      <c r="E27" s="253"/>
      <c r="F27" s="252"/>
      <c r="G27" s="251"/>
    </row>
    <row r="28" spans="1:7" ht="12.75">
      <c r="A28" s="110" t="s">
        <v>330</v>
      </c>
      <c r="B28" s="249"/>
      <c r="C28" s="249"/>
      <c r="D28" s="249"/>
      <c r="E28" s="249"/>
      <c r="F28" s="250"/>
      <c r="G28" s="251"/>
    </row>
    <row r="29" spans="1:7" ht="12.75">
      <c r="A29" s="110" t="s">
        <v>331</v>
      </c>
      <c r="B29" s="249">
        <v>0</v>
      </c>
      <c r="C29" s="249">
        <v>15000</v>
      </c>
      <c r="D29" s="249">
        <v>0</v>
      </c>
      <c r="E29" s="249">
        <v>0</v>
      </c>
      <c r="F29" s="250">
        <v>0</v>
      </c>
      <c r="G29" s="251"/>
    </row>
    <row r="30" spans="1:7" ht="12.75">
      <c r="A30" s="110" t="s">
        <v>332</v>
      </c>
      <c r="B30" s="249"/>
      <c r="C30" s="249">
        <v>10000</v>
      </c>
      <c r="D30" s="249"/>
      <c r="E30" s="249"/>
      <c r="F30" s="250"/>
      <c r="G30" s="251"/>
    </row>
    <row r="31" spans="1:7" ht="12.75">
      <c r="A31" s="110" t="s">
        <v>333</v>
      </c>
      <c r="B31" s="249"/>
      <c r="C31" s="249">
        <v>3750</v>
      </c>
      <c r="D31" s="249"/>
      <c r="E31" s="249"/>
      <c r="F31" s="250"/>
      <c r="G31" s="251"/>
    </row>
    <row r="32" spans="1:7" ht="12.75">
      <c r="A32" s="147" t="s">
        <v>334</v>
      </c>
      <c r="B32" s="254">
        <f>SUM(B21:B31)</f>
        <v>79000</v>
      </c>
      <c r="C32" s="254">
        <f>SUM(C21:C31)</f>
        <v>28750</v>
      </c>
      <c r="D32" s="254">
        <f>SUM(D21:D31)</f>
        <v>104200</v>
      </c>
      <c r="E32" s="254">
        <f>SUM(E21:E31)</f>
        <v>14000</v>
      </c>
      <c r="F32" s="254">
        <f>SUM(F21:F31)</f>
        <v>220000</v>
      </c>
      <c r="G32" s="255">
        <f>SUM(B32:F32)</f>
        <v>445950</v>
      </c>
    </row>
    <row r="34" spans="1:2" ht="12.75">
      <c r="A34" s="111" t="s">
        <v>335</v>
      </c>
      <c r="B34" s="256" t="s">
        <v>336</v>
      </c>
    </row>
    <row r="35" spans="1:2" ht="12.75">
      <c r="A35" s="113" t="s">
        <v>312</v>
      </c>
      <c r="B35" s="257">
        <v>75000</v>
      </c>
    </row>
    <row r="36" spans="1:2" ht="12.75">
      <c r="A36" s="113" t="s">
        <v>337</v>
      </c>
      <c r="B36" s="257">
        <v>200000</v>
      </c>
    </row>
    <row r="37" spans="1:2" ht="12.75">
      <c r="A37" s="113" t="s">
        <v>338</v>
      </c>
      <c r="B37" s="257">
        <v>16000</v>
      </c>
    </row>
    <row r="38" spans="1:2" ht="12.75">
      <c r="A38" s="113" t="s">
        <v>339</v>
      </c>
      <c r="B38" s="257">
        <v>25000</v>
      </c>
    </row>
    <row r="39" spans="1:2" ht="12.75">
      <c r="A39" s="113" t="s">
        <v>340</v>
      </c>
      <c r="B39" s="257">
        <f>450000-Program!H20</f>
        <v>246000</v>
      </c>
    </row>
    <row r="40" spans="1:2" ht="12.75">
      <c r="A40" s="113" t="s">
        <v>341</v>
      </c>
      <c r="B40" s="257">
        <v>16000</v>
      </c>
    </row>
    <row r="41" spans="1:2" ht="12.75">
      <c r="A41" s="113" t="s">
        <v>307</v>
      </c>
      <c r="B41" s="258">
        <f>B8*0.95</f>
        <v>475000.00000000006</v>
      </c>
    </row>
    <row r="42" spans="1:4" ht="12.75">
      <c r="A42" s="113" t="s">
        <v>302</v>
      </c>
      <c r="B42" s="258">
        <f>(('Oversikt Variabler'!B12*14)+('Oversikt Variabler'!B13))*'Oversikt Variabler'!B4</f>
        <v>17400</v>
      </c>
      <c r="D42" s="110" t="s">
        <v>342</v>
      </c>
    </row>
    <row r="43" spans="1:2" ht="12.75">
      <c r="A43" s="113" t="s">
        <v>343</v>
      </c>
      <c r="B43" s="257">
        <v>0</v>
      </c>
    </row>
    <row r="44" spans="1:2" ht="12.75">
      <c r="A44" s="113" t="s">
        <v>344</v>
      </c>
      <c r="B44" s="257">
        <v>325000</v>
      </c>
    </row>
    <row r="45" spans="1:2" ht="12.75">
      <c r="A45" s="113" t="s">
        <v>114</v>
      </c>
      <c r="B45" s="258">
        <f>B11</f>
        <v>160000</v>
      </c>
    </row>
    <row r="46" spans="1:2" ht="12.75">
      <c r="A46" s="113" t="s">
        <v>345</v>
      </c>
      <c r="B46" s="257">
        <v>20000</v>
      </c>
    </row>
    <row r="47" spans="1:2" ht="12.75">
      <c r="A47" s="113" t="s">
        <v>346</v>
      </c>
      <c r="B47" s="257">
        <v>45000</v>
      </c>
    </row>
    <row r="48" spans="1:2" ht="12.75">
      <c r="A48" s="117" t="s">
        <v>347</v>
      </c>
      <c r="B48" s="259">
        <v>45000</v>
      </c>
    </row>
    <row r="49" spans="1:2" ht="12.75">
      <c r="A49" s="114" t="s">
        <v>62</v>
      </c>
      <c r="B49" s="260">
        <v>2000</v>
      </c>
    </row>
    <row r="50" spans="1:2" ht="12.75">
      <c r="A50" s="114" t="s">
        <v>74</v>
      </c>
      <c r="B50" s="260">
        <v>15000</v>
      </c>
    </row>
    <row r="51" spans="1:2" ht="12.75">
      <c r="A51" s="114"/>
      <c r="B51" s="260"/>
    </row>
    <row r="52" spans="1:2" ht="12.75">
      <c r="A52" s="114" t="s">
        <v>334</v>
      </c>
      <c r="B52" s="261">
        <f>SUM(B35:B51)</f>
        <v>1682400</v>
      </c>
    </row>
    <row r="54" spans="1:2" ht="12.75">
      <c r="A54" s="111" t="s">
        <v>348</v>
      </c>
      <c r="B54" s="256" t="s">
        <v>336</v>
      </c>
    </row>
    <row r="55" spans="1:2" ht="12.75">
      <c r="A55" s="113" t="s">
        <v>349</v>
      </c>
      <c r="B55" s="257">
        <f>410000+35000</f>
        <v>445000</v>
      </c>
    </row>
    <row r="56" spans="1:2" ht="12.75">
      <c r="A56" s="113" t="s">
        <v>42</v>
      </c>
      <c r="B56" s="258">
        <f>(B55*0.02)+(B68*0.02)</f>
        <v>11900</v>
      </c>
    </row>
    <row r="57" spans="1:2" ht="12.75">
      <c r="A57" s="113" t="s">
        <v>350</v>
      </c>
      <c r="B57" s="258">
        <f>(B55*0.102)+(B68*0.102)</f>
        <v>60690</v>
      </c>
    </row>
    <row r="58" spans="1:2" ht="12.75">
      <c r="A58" s="113" t="s">
        <v>351</v>
      </c>
      <c r="B58" s="258">
        <f>(B55+B68+B56)*0.141</f>
        <v>85572.90000000001</v>
      </c>
    </row>
    <row r="59" spans="1:10" ht="12.75">
      <c r="A59" s="113" t="s">
        <v>352</v>
      </c>
      <c r="B59" s="257">
        <v>10000</v>
      </c>
      <c r="I59" s="157"/>
      <c r="J59" s="157"/>
    </row>
    <row r="60" spans="1:2" ht="12.75">
      <c r="A60" s="113" t="s">
        <v>53</v>
      </c>
      <c r="B60" s="257">
        <v>15000</v>
      </c>
    </row>
    <row r="61" spans="1:2" ht="12.75">
      <c r="A61" s="113" t="s">
        <v>353</v>
      </c>
      <c r="B61" s="257">
        <v>7500</v>
      </c>
    </row>
    <row r="62" spans="1:2" ht="12.75">
      <c r="A62" s="113" t="s">
        <v>45</v>
      </c>
      <c r="B62" s="257">
        <f>(10450*12)+4000</f>
        <v>129400</v>
      </c>
    </row>
    <row r="63" spans="1:2" ht="12.75">
      <c r="A63" s="113" t="s">
        <v>354</v>
      </c>
      <c r="B63" s="257">
        <v>30000</v>
      </c>
    </row>
    <row r="64" spans="1:2" ht="12.75">
      <c r="A64" s="113" t="s">
        <v>355</v>
      </c>
      <c r="B64" s="257">
        <v>0</v>
      </c>
    </row>
    <row r="65" spans="1:2" ht="12.75">
      <c r="A65" s="113" t="s">
        <v>356</v>
      </c>
      <c r="B65" s="257">
        <v>5000</v>
      </c>
    </row>
    <row r="66" spans="1:2" ht="12.75">
      <c r="A66" s="113" t="s">
        <v>60</v>
      </c>
      <c r="B66" s="257">
        <v>90000</v>
      </c>
    </row>
    <row r="67" spans="1:2" ht="12.75">
      <c r="A67" s="113" t="s">
        <v>59</v>
      </c>
      <c r="B67" s="257">
        <v>3500</v>
      </c>
    </row>
    <row r="68" spans="1:2" ht="12.75">
      <c r="A68" s="113" t="s">
        <v>357</v>
      </c>
      <c r="B68" s="257">
        <f>((360000*1)*0.4)+6000</f>
        <v>150000</v>
      </c>
    </row>
    <row r="69" spans="1:2" ht="12.75">
      <c r="A69" s="113" t="s">
        <v>41</v>
      </c>
      <c r="B69" s="257">
        <v>2000</v>
      </c>
    </row>
    <row r="70" spans="1:2" ht="12.75">
      <c r="A70" s="113" t="s">
        <v>61</v>
      </c>
      <c r="B70" s="257">
        <v>10000</v>
      </c>
    </row>
    <row r="71" spans="1:2" ht="12.75">
      <c r="A71" s="113" t="s">
        <v>358</v>
      </c>
      <c r="B71" s="257">
        <v>10000</v>
      </c>
    </row>
    <row r="72" spans="1:5" ht="12.75" customHeight="1">
      <c r="A72" s="113" t="s">
        <v>359</v>
      </c>
      <c r="B72" s="258">
        <f>'Oversikt Variabler'!B11*'Oversikt Variabler'!B4</f>
        <v>960</v>
      </c>
      <c r="C72" s="262" t="s">
        <v>360</v>
      </c>
      <c r="D72" s="262"/>
      <c r="E72" s="262"/>
    </row>
    <row r="73" spans="1:5" ht="12.75">
      <c r="A73" s="113" t="s">
        <v>306</v>
      </c>
      <c r="B73" s="258">
        <f>'Oversikt Variabler'!B11*14*'Oversikt Variabler'!B4</f>
        <v>13440</v>
      </c>
      <c r="C73" s="262"/>
      <c r="D73" s="262"/>
      <c r="E73" s="262"/>
    </row>
    <row r="74" spans="1:2" ht="12.75">
      <c r="A74" s="114" t="s">
        <v>334</v>
      </c>
      <c r="B74" s="261">
        <f>SUM(B55:B73)</f>
        <v>1079962.9</v>
      </c>
    </row>
    <row r="76" spans="1:7" ht="12.75">
      <c r="A76" s="263" t="s">
        <v>361</v>
      </c>
      <c r="B76" s="264" t="s">
        <v>317</v>
      </c>
      <c r="C76" s="264" t="s">
        <v>318</v>
      </c>
      <c r="D76" s="264" t="s">
        <v>319</v>
      </c>
      <c r="E76" s="264" t="s">
        <v>320</v>
      </c>
      <c r="F76" s="264" t="s">
        <v>362</v>
      </c>
      <c r="G76" s="264" t="s">
        <v>334</v>
      </c>
    </row>
    <row r="77" spans="1:7" ht="12.75">
      <c r="A77" s="247" t="s">
        <v>363</v>
      </c>
      <c r="B77" s="265"/>
      <c r="C77" s="265"/>
      <c r="D77" s="265"/>
      <c r="E77" s="265"/>
      <c r="F77" s="265"/>
      <c r="G77" s="254">
        <f>SUM(B77:F77)</f>
        <v>0</v>
      </c>
    </row>
    <row r="78" spans="1:7" ht="12.75">
      <c r="A78" s="113" t="s">
        <v>364</v>
      </c>
      <c r="B78" s="266"/>
      <c r="C78" s="266"/>
      <c r="D78" s="266"/>
      <c r="E78" s="266"/>
      <c r="F78" s="266"/>
      <c r="G78" s="267">
        <f>SUM(B78:F78)</f>
        <v>0</v>
      </c>
    </row>
    <row r="79" spans="1:7" ht="12.75">
      <c r="A79" s="113" t="s">
        <v>365</v>
      </c>
      <c r="B79" s="266"/>
      <c r="C79" s="266"/>
      <c r="D79" s="266"/>
      <c r="E79" s="266"/>
      <c r="F79" s="266"/>
      <c r="G79" s="267">
        <f>SUM(B79:F79)</f>
        <v>0</v>
      </c>
    </row>
    <row r="80" spans="1:7" ht="12.75">
      <c r="A80" s="113" t="s">
        <v>366</v>
      </c>
      <c r="B80" s="266"/>
      <c r="C80" s="266"/>
      <c r="D80" s="266"/>
      <c r="E80" s="266"/>
      <c r="F80" s="266">
        <v>25000</v>
      </c>
      <c r="G80" s="267">
        <f>SUM(B80:F80)</f>
        <v>25000</v>
      </c>
    </row>
    <row r="81" spans="1:7" ht="12.75">
      <c r="A81" s="113" t="s">
        <v>367</v>
      </c>
      <c r="B81" s="266"/>
      <c r="C81" s="266"/>
      <c r="D81" s="266"/>
      <c r="E81" s="266"/>
      <c r="F81" s="266"/>
      <c r="G81" s="267">
        <f>SUM(B81:F81)</f>
        <v>0</v>
      </c>
    </row>
    <row r="82" spans="1:7" ht="12.75">
      <c r="A82" s="113" t="s">
        <v>368</v>
      </c>
      <c r="B82" s="266"/>
      <c r="C82" s="266"/>
      <c r="D82" s="266"/>
      <c r="E82" s="266">
        <f>Prosjekter!H8+Prosjekter!H9</f>
        <v>140000</v>
      </c>
      <c r="F82" s="266"/>
      <c r="G82" s="267">
        <f>SUM(B82:F82)</f>
        <v>140000</v>
      </c>
    </row>
    <row r="83" spans="1:7" ht="12.75">
      <c r="A83" s="114" t="s">
        <v>334</v>
      </c>
      <c r="B83" s="268">
        <f>SUM(B77:B82)</f>
        <v>0</v>
      </c>
      <c r="C83" s="268">
        <f>SUM(C77:C82)</f>
        <v>0</v>
      </c>
      <c r="D83" s="268">
        <f>SUM(D77:D82)</f>
        <v>0</v>
      </c>
      <c r="E83" s="268">
        <f>SUM(E77:E82)</f>
        <v>140000</v>
      </c>
      <c r="F83" s="268">
        <f>SUM(F77:F82)</f>
        <v>25000</v>
      </c>
      <c r="G83" s="269">
        <f>SUM(G77:G82)</f>
        <v>165000</v>
      </c>
    </row>
    <row r="84" spans="1:5" ht="12.75">
      <c r="A84" s="147"/>
      <c r="B84" s="147"/>
      <c r="C84" s="147"/>
      <c r="D84" s="147"/>
      <c r="E84" s="147"/>
    </row>
    <row r="85" spans="1:7" ht="12.75">
      <c r="A85" s="111" t="s">
        <v>369</v>
      </c>
      <c r="B85" s="13"/>
      <c r="C85" s="13"/>
      <c r="D85" s="13"/>
      <c r="E85" s="13"/>
      <c r="F85" s="13"/>
      <c r="G85" s="256"/>
    </row>
    <row r="86" spans="1:7" ht="12.75">
      <c r="A86" s="247" t="s">
        <v>370</v>
      </c>
      <c r="B86" s="265">
        <v>0</v>
      </c>
      <c r="C86" s="265"/>
      <c r="D86" s="265"/>
      <c r="E86" s="265"/>
      <c r="F86" s="265"/>
      <c r="G86" s="270">
        <f>SUM(B86:F86)</f>
        <v>0</v>
      </c>
    </row>
    <row r="87" spans="1:7" ht="12.75">
      <c r="A87" s="113"/>
      <c r="B87" s="266"/>
      <c r="C87" s="266"/>
      <c r="D87" s="266"/>
      <c r="E87" s="266"/>
      <c r="F87" s="266"/>
      <c r="G87" s="271"/>
    </row>
    <row r="88" spans="1:7" ht="12.75">
      <c r="A88" s="114" t="s">
        <v>334</v>
      </c>
      <c r="B88" s="268">
        <f>SUM(B86:B87)</f>
        <v>0</v>
      </c>
      <c r="C88" s="268">
        <f>SUM(C86:C87)</f>
        <v>0</v>
      </c>
      <c r="D88" s="268">
        <f>SUM(D86:D87)</f>
        <v>0</v>
      </c>
      <c r="E88" s="268">
        <f>SUM(E86:E87)</f>
        <v>0</v>
      </c>
      <c r="F88" s="268">
        <f>SUM(F86:F87)</f>
        <v>0</v>
      </c>
      <c r="G88" s="261">
        <f>SUM(G86:G87)</f>
        <v>0</v>
      </c>
    </row>
    <row r="92" ht="12.75">
      <c r="E92" s="157"/>
    </row>
    <row r="93" ht="12.75">
      <c r="A93" s="18" t="s">
        <v>371</v>
      </c>
    </row>
    <row r="94" spans="1:4" ht="12.75">
      <c r="A94" s="110" t="s">
        <v>372</v>
      </c>
      <c r="B94" s="272">
        <f>G32</f>
        <v>445950</v>
      </c>
      <c r="D94" s="272">
        <f>B99-Budsjett_enkel!F75</f>
        <v>-8557.290000000037</v>
      </c>
    </row>
    <row r="95" spans="1:2" ht="12.75">
      <c r="A95" s="110" t="s">
        <v>373</v>
      </c>
      <c r="B95" s="272">
        <f>B52</f>
        <v>1682400</v>
      </c>
    </row>
    <row r="96" spans="1:2" ht="12.75">
      <c r="A96" s="110" t="s">
        <v>374</v>
      </c>
      <c r="B96" s="272">
        <f>B74</f>
        <v>1079962.9</v>
      </c>
    </row>
    <row r="97" spans="1:2" ht="12.75">
      <c r="A97" s="110" t="s">
        <v>375</v>
      </c>
      <c r="B97" s="272">
        <f>G83</f>
        <v>165000</v>
      </c>
    </row>
    <row r="98" spans="1:2" ht="12.75">
      <c r="A98" s="110" t="s">
        <v>369</v>
      </c>
      <c r="B98" s="272">
        <f>G88</f>
        <v>0</v>
      </c>
    </row>
    <row r="99" spans="1:2" ht="12.75">
      <c r="A99" s="147" t="s">
        <v>376</v>
      </c>
      <c r="B99" s="273">
        <f>SUM(B94:B98)</f>
        <v>3373312.9</v>
      </c>
    </row>
  </sheetData>
  <sheetProtection selectLockedCells="1" selectUnlockedCells="1"/>
  <mergeCells count="1">
    <mergeCell ref="C72:E7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="60" zoomScaleNormal="60" workbookViewId="0" topLeftCell="A5">
      <selection activeCell="H6" sqref="H6"/>
    </sheetView>
  </sheetViews>
  <sheetFormatPr defaultColWidth="12.57421875" defaultRowHeight="12.75"/>
  <cols>
    <col min="1" max="1" width="64.7109375" style="110" customWidth="1"/>
    <col min="2" max="7" width="20.421875" style="110" customWidth="1"/>
    <col min="8" max="8" width="15.7109375" style="110" customWidth="1"/>
    <col min="9" max="9" width="15.140625" style="110" customWidth="1"/>
    <col min="10" max="12" width="12.57421875" style="110" customWidth="1"/>
    <col min="13" max="13" width="22.7109375" style="110" customWidth="1"/>
    <col min="14" max="16384" width="12.57421875" style="110" customWidth="1"/>
  </cols>
  <sheetData>
    <row r="1" ht="12.75">
      <c r="A1" s="274"/>
    </row>
    <row r="2" spans="1:8" ht="12.75">
      <c r="A2" s="275" t="s">
        <v>107</v>
      </c>
      <c r="B2" s="147"/>
      <c r="C2" s="147"/>
      <c r="D2" s="147"/>
      <c r="E2" s="147"/>
      <c r="F2" s="147"/>
      <c r="G2" s="42"/>
      <c r="H2" s="264"/>
    </row>
    <row r="3" spans="1:8" ht="12.75">
      <c r="A3" s="117"/>
      <c r="B3" s="276" t="s">
        <v>218</v>
      </c>
      <c r="C3" s="276" t="s">
        <v>212</v>
      </c>
      <c r="D3" s="276" t="s">
        <v>272</v>
      </c>
      <c r="E3" s="276" t="s">
        <v>214</v>
      </c>
      <c r="F3" s="276" t="s">
        <v>215</v>
      </c>
      <c r="G3" s="277" t="s">
        <v>213</v>
      </c>
      <c r="H3" s="46" t="s">
        <v>334</v>
      </c>
    </row>
    <row r="4" spans="1:8" ht="12.75">
      <c r="A4" s="113" t="s">
        <v>162</v>
      </c>
      <c r="B4" s="278">
        <f>-('Oversikt Variabler'!B15*'Oversikt Variabler'!B31*4)+'Oversikt Variabler'!B15*'Oversikt Variabler'!B32</f>
        <v>-96000</v>
      </c>
      <c r="C4" s="278">
        <f>-('Oversikt Variabler'!B15*'Oversikt Variabler'!B35*4)</f>
        <v>-55200</v>
      </c>
      <c r="D4" s="278">
        <f>-('Oversikt Variabler'!B15*('Oversikt Variabler'!B38*8))</f>
        <v>-33600</v>
      </c>
      <c r="E4" s="278">
        <f>-('Oversikt Variabler'!B15*(('Oversikt Variabler'!B40*6)+('Oversikt Variabler'!B41*6)+('Oversikt Variabler'!B42*6)+('Oversikt Variabler'!B43*6)+'Oversikt Variabler'!B44+'Oversikt Variabler'!B45))</f>
        <v>-33600</v>
      </c>
      <c r="F4" s="278">
        <f>-('Oversikt Variabler'!B15*'Oversikt Variabler'!B49)</f>
        <v>-12000</v>
      </c>
      <c r="G4" s="278">
        <f>-('Oversikt Variabler'!B15*('Oversikt Variabler'!B52+'Oversikt Variabler'!B53))</f>
        <v>-2400</v>
      </c>
      <c r="H4" s="279">
        <f>SUM(B4:G4)</f>
        <v>-232800</v>
      </c>
    </row>
    <row r="5" spans="1:8" ht="12.75">
      <c r="A5" s="113" t="s">
        <v>257</v>
      </c>
      <c r="B5" s="278">
        <f>-('Oversikt Variabler'!B16*'Oversikt Variabler'!B31*4)+'Oversikt Variabler'!B16*'Oversikt Variabler'!B32</f>
        <v>0</v>
      </c>
      <c r="C5" s="278">
        <f>-('Oversikt Variabler'!B16*'Oversikt Variabler'!B35*4)</f>
        <v>0</v>
      </c>
      <c r="D5" s="278">
        <f>-('Oversikt Variabler'!B16*('Oversikt Variabler'!B38*10))</f>
        <v>0</v>
      </c>
      <c r="E5" s="278">
        <f>-('Oversikt Variabler'!B16*(('Oversikt Variabler'!B40*6)+('Oversikt Variabler'!B41*6)+'Oversikt Variabler'!B44+'Oversikt Variabler'!B45))</f>
        <v>0</v>
      </c>
      <c r="F5" s="278">
        <f>-('Oversikt Variabler'!B16*'Oversikt Variabler'!B49)</f>
        <v>0</v>
      </c>
      <c r="G5" s="278">
        <f>-('Oversikt Variabler'!B16*('Oversikt Variabler'!B52+'Oversikt Variabler'!B53))</f>
        <v>0</v>
      </c>
      <c r="H5" s="280">
        <f>SUM(B5:G5)</f>
        <v>0</v>
      </c>
    </row>
    <row r="6" spans="1:8" ht="12.75">
      <c r="A6" s="113" t="s">
        <v>259</v>
      </c>
      <c r="B6" s="278">
        <f>-('Oversikt Variabler'!B17*'Oversikt Variabler'!B31*4)</f>
        <v>-115200</v>
      </c>
      <c r="C6" s="278">
        <f>-('Oversikt Variabler'!B17*'Oversikt Variabler'!B35*4)</f>
        <v>-55200</v>
      </c>
      <c r="D6" s="278">
        <f>-('Oversikt Variabler'!B17*('Oversikt Variabler'!B38*8))</f>
        <v>-33600</v>
      </c>
      <c r="E6" s="278" t="s">
        <v>260</v>
      </c>
      <c r="F6" s="278" t="s">
        <v>260</v>
      </c>
      <c r="G6" s="278" t="s">
        <v>260</v>
      </c>
      <c r="H6" s="280">
        <f>SUM(B6:G6)</f>
        <v>-204000</v>
      </c>
    </row>
    <row r="7" spans="1:9" ht="12.75">
      <c r="A7" s="113" t="s">
        <v>297</v>
      </c>
      <c r="B7" s="278">
        <f>-('Oversikt Variabler'!B18*'Oversikt Variabler'!B31*4)</f>
        <v>-105600</v>
      </c>
      <c r="C7" s="278">
        <f>-('Oversikt Variabler'!B20*'Oversikt Variabler'!B35*4)</f>
        <v>-50600</v>
      </c>
      <c r="D7" s="278">
        <f>-('Oversikt Variabler'!B22*('Oversikt Variabler'!B38*8))</f>
        <v>-19600</v>
      </c>
      <c r="E7" s="278">
        <f>-('Oversikt Variabler'!B23*(('Oversikt Variabler'!B40*6)+('Oversikt Variabler'!B41*6)+('Oversikt Variabler'!B42*6)+('Oversikt Variabler'!B43*6))+('Oversikt Variabler'!B23/2)*('Oversikt Variabler'!B44+'Oversikt Variabler'!B45))</f>
        <v>-28600</v>
      </c>
      <c r="F7" s="278" t="s">
        <v>260</v>
      </c>
      <c r="G7" s="278" t="s">
        <v>260</v>
      </c>
      <c r="H7" s="280">
        <f>SUM(B7:G7)</f>
        <v>-204400</v>
      </c>
      <c r="I7" s="157"/>
    </row>
    <row r="8" spans="1:9" ht="12.75">
      <c r="A8" s="113" t="s">
        <v>264</v>
      </c>
      <c r="B8" s="278">
        <f>-('Oversikt Variabler'!B19*'Oversikt Variabler'!B32)</f>
        <v>-22400</v>
      </c>
      <c r="C8" s="278" t="s">
        <v>260</v>
      </c>
      <c r="D8" s="281" t="s">
        <v>260</v>
      </c>
      <c r="E8" s="278"/>
      <c r="F8" s="278" t="s">
        <v>260</v>
      </c>
      <c r="G8" s="278" t="s">
        <v>260</v>
      </c>
      <c r="H8" s="280">
        <f>SUM(B8:G8)</f>
        <v>-22400</v>
      </c>
      <c r="I8" s="157"/>
    </row>
    <row r="9" spans="1:9" ht="12.75">
      <c r="A9" s="282" t="s">
        <v>377</v>
      </c>
      <c r="B9" s="278">
        <v>-42000</v>
      </c>
      <c r="C9" s="278">
        <v>-28000</v>
      </c>
      <c r="D9" s="281"/>
      <c r="E9" s="278"/>
      <c r="F9" s="278"/>
      <c r="G9" s="278"/>
      <c r="H9" s="283">
        <f>SUM(B9:G9)</f>
        <v>-70000</v>
      </c>
      <c r="I9" s="157"/>
    </row>
    <row r="10" spans="1:9" ht="12.75">
      <c r="A10" s="113" t="s">
        <v>274</v>
      </c>
      <c r="B10" s="278" t="s">
        <v>260</v>
      </c>
      <c r="C10" s="278">
        <f>-('Oversikt Variabler'!B21*'Oversikt Variabler'!B35*4)</f>
        <v>-69000</v>
      </c>
      <c r="D10" s="278" t="s">
        <v>260</v>
      </c>
      <c r="E10" s="278">
        <f>-(('Oversikt Variabler'!B24*('Oversikt Variabler'!B44+'Oversikt Variabler'!B45))+(('Oversikt Variabler'!B25)*('Oversikt Variabler'!B42+'Oversikt Variabler'!B43)*6))</f>
        <v>-21400</v>
      </c>
      <c r="F10" s="278">
        <f>-('Oversikt Variabler'!B27*'Oversikt Variabler'!B49)</f>
        <v>-40000</v>
      </c>
      <c r="G10" s="278">
        <f>-('Oversikt Variabler'!B26*('Oversikt Variabler'!B52+'Oversikt Variabler'!B53))</f>
        <v>-3200</v>
      </c>
      <c r="H10" s="280">
        <f>SUM(B10:G10)</f>
        <v>-133600</v>
      </c>
      <c r="I10" s="157"/>
    </row>
    <row r="11" spans="1:8" ht="12.75">
      <c r="A11" s="113" t="s">
        <v>378</v>
      </c>
      <c r="B11" s="278">
        <f>-(('Oversikt Variabler'!B7*28*'Oversikt Variabler'!B3)*('Oversikt Variabler'!B31*4)+('Oversikt Variabler'!B32*'Oversikt Variabler'!B7*'Oversikt Variabler'!B3*28))</f>
        <v>-746995.2000000001</v>
      </c>
      <c r="C11" s="278">
        <f>-('Oversikt Variabler'!B7*23*'Oversikt Variabler'!B35*4*'Oversikt Variabler'!B3)</f>
        <v>-252015.6</v>
      </c>
      <c r="D11" s="278">
        <f>-(('Oversikt Variabler'!B38*8)*'Oversikt Variabler'!B10*'Oversikt Variabler'!B3)</f>
        <v>-55143.2</v>
      </c>
      <c r="E11" s="278">
        <f>-(((('Oversikt Variabler'!B7*8)*(('Oversikt Variabler'!B40*6)+('Oversikt Variabler'!B42*6)+'Oversikt Variabler'!B44))+(('Oversikt Variabler'!B7*15)*(('Oversikt Variabler'!B41*6)+('Oversikt Variabler'!B43*6)+'Oversikt Variabler'!B45)))*'Oversikt Variabler'!B3)</f>
        <v>-70030.8</v>
      </c>
      <c r="F11" s="278">
        <f>-(('Oversikt Variabler'!B7*'Oversikt Variabler'!B49*'Oversikt Variabler'!B3)*21)</f>
        <v>-50022</v>
      </c>
      <c r="G11" s="278">
        <f>-((('Oversikt Variabler'!B9*'Oversikt Variabler'!B52*18)+('Oversikt Variabler'!B9*'Oversikt Variabler'!B53*23))*'Oversikt Variabler'!B3)</f>
        <v>-4680</v>
      </c>
      <c r="H11" s="280">
        <f>SUM(B11:G11)</f>
        <v>-1178886.8</v>
      </c>
    </row>
    <row r="12" spans="1:8" ht="12.75">
      <c r="A12" s="113" t="s">
        <v>379</v>
      </c>
      <c r="B12" s="278">
        <f>-(('Oversikt Pris'!B11*'Oversikt Variabler'!C31)+('Oversikt Pris'!C11*'Oversikt Variabler'!D31)+('Oversikt Pris'!D11*'Oversikt Variabler'!E31)+('Oversikt Pris'!E11*'Oversikt Variabler'!F31)+('Oversikt Pris'!F11*'Oversikt Variabler'!B32))</f>
        <v>90484.00000000001</v>
      </c>
      <c r="C12" s="278">
        <f>-(('Oversikt Pris'!B25*'Oversikt Variabler'!C35)+('Oversikt Pris'!C25*'Oversikt Variabler'!D35)+('Oversikt Pris'!D25*'Oversikt Variabler'!E35)+('Oversikt Pris'!E25*'Oversikt Variabler'!F35))</f>
        <v>29163.900000000005</v>
      </c>
      <c r="D12" s="278">
        <f>-('Oversikt Pris'!B37*('Oversikt Variabler'!B38*8))</f>
        <v>3063.19999999999</v>
      </c>
      <c r="E12" s="278">
        <f>-((('Oversikt Pris'!B49*('Oversikt Variabler'!B40)*6)+(('Oversikt Pris'!C49*'Oversikt Variabler'!B41)*6)+(('Oversikt Pris'!F49*'Oversikt Variabler'!B42)*6)+(('Oversikt Pris'!G49*'Oversikt Variabler'!B43)*6)+('Oversikt Pris'!D49*'Oversikt Variabler'!B44)+('Oversikt Pris'!E49*'Oversikt Variabler'!B45)))</f>
        <v>-1849.1999999999935</v>
      </c>
      <c r="F12" s="278">
        <f>-('Oversikt Pris'!B60*'Oversikt Variabler'!B49)</f>
        <v>1422.0000000000073</v>
      </c>
      <c r="G12" s="278">
        <f>-(('Oversikt Pris'!B71*'Oversikt Variabler'!B52)+('Oversikt Pris'!C71*'Oversikt Variabler'!B53))</f>
        <v>960</v>
      </c>
      <c r="H12" s="280">
        <f>SUM(B12:G12)</f>
        <v>123243.90000000002</v>
      </c>
    </row>
    <row r="13" spans="1:8" ht="12.75">
      <c r="A13" s="113" t="s">
        <v>380</v>
      </c>
      <c r="B13" s="278">
        <f>-((('Oversikt Variabler'!B31*4)+'Oversikt Variabler'!B32)*'Oversikt Variabler'!B107)</f>
        <v>-190400</v>
      </c>
      <c r="C13" s="278">
        <f>-(('Oversikt Variabler'!B35*4)*'Oversikt Variabler'!B107)</f>
        <v>-78200</v>
      </c>
      <c r="D13" s="278" t="s">
        <v>260</v>
      </c>
      <c r="E13" s="278">
        <f>-((('Oversikt Variabler'!B40*6)+('Oversikt Variabler'!B41*6)+('Oversikt Variabler'!B42*6)+('Oversikt Variabler'!B43*6)+'Oversikt Variabler'!B44+'Oversikt Variabler'!B45)*'Oversikt Variabler'!B107)</f>
        <v>-47600</v>
      </c>
      <c r="F13" s="278">
        <f>-('Oversikt Variabler'!B107*'Oversikt Variabler'!B49)</f>
        <v>-17000</v>
      </c>
      <c r="G13" s="278">
        <f>-(('Oversikt Variabler'!B52+'Oversikt Variabler'!B53)*'Oversikt Variabler'!B107)</f>
        <v>-3400</v>
      </c>
      <c r="H13" s="284">
        <f>SUM(B13:G13)</f>
        <v>-336600</v>
      </c>
    </row>
    <row r="14" spans="1:8" ht="12.75">
      <c r="A14" s="113" t="s">
        <v>267</v>
      </c>
      <c r="B14" s="278">
        <f>-((('Oversikt Variabler'!B8*'Oversikt Variabler'!B3)+('Oversikt Variabler'!B32))*('Oversikt Variabler'!B31*5))</f>
        <v>-60480</v>
      </c>
      <c r="C14" s="278">
        <f>-(('Oversikt Variabler'!B8*'Oversikt Variabler'!B3)*('Oversikt Variabler'!B35*5))</f>
        <v>-25300</v>
      </c>
      <c r="D14" s="278">
        <f>-(('Oversikt Variabler'!B8*'Oversikt Variabler'!B3)*('Oversikt Variabler'!B38*9))</f>
        <v>-13860</v>
      </c>
      <c r="E14" s="278">
        <f>-(('Oversikt Variabler'!B8*'Oversikt Variabler'!B3)*(('Oversikt Variabler'!B40*7)+('Oversikt Variabler'!B41*7)+('Oversikt Variabler'!B42*7)+('Oversikt Variabler'!B43*7)+'Oversikt Variabler'!B44+'Oversikt Variabler'!B45))</f>
        <v>-14080</v>
      </c>
      <c r="F14" s="278">
        <f>-('Oversikt Variabler'!B49*('Oversikt Variabler'!B8*'Oversikt Variabler'!B3))</f>
        <v>-4400</v>
      </c>
      <c r="G14" s="278">
        <f>-(('Oversikt Variabler'!B52+'Oversikt Variabler'!B53)*('Oversikt Variabler'!B8*'Oversikt Variabler'!B3))</f>
        <v>-880</v>
      </c>
      <c r="H14" s="284">
        <f>SUM(B14:G14)</f>
        <v>-119000</v>
      </c>
    </row>
    <row r="15" spans="1:8" ht="12.75">
      <c r="A15" s="285" t="s">
        <v>334</v>
      </c>
      <c r="B15" s="286">
        <f>SUM(B4:B14)</f>
        <v>-1288591.2000000002</v>
      </c>
      <c r="C15" s="286">
        <f>SUM(C4:C14)</f>
        <v>-584351.7</v>
      </c>
      <c r="D15" s="286">
        <f>SUM(D4:D14)</f>
        <v>-152740</v>
      </c>
      <c r="E15" s="286">
        <f>SUM(E4:E14)</f>
        <v>-217160</v>
      </c>
      <c r="F15" s="286">
        <f>SUM(F4:F14)</f>
        <v>-122000</v>
      </c>
      <c r="G15" s="286">
        <f>SUM(G4:G14)</f>
        <v>-13600</v>
      </c>
      <c r="H15" s="287">
        <f>SUM(H4:H14)</f>
        <v>-2378442.9</v>
      </c>
    </row>
    <row r="16" spans="4:5" ht="12.75">
      <c r="D16" s="119"/>
      <c r="E16" s="119"/>
    </row>
    <row r="18" spans="1:8" ht="12.75">
      <c r="A18" s="288" t="s">
        <v>111</v>
      </c>
      <c r="B18" s="147"/>
      <c r="C18" s="147"/>
      <c r="D18" s="147"/>
      <c r="E18" s="147"/>
      <c r="F18" s="147"/>
      <c r="G18" s="147"/>
      <c r="H18" s="42"/>
    </row>
    <row r="19" spans="1:8" ht="12.75">
      <c r="A19" s="117"/>
      <c r="B19" s="276" t="s">
        <v>218</v>
      </c>
      <c r="C19" s="276" t="s">
        <v>212</v>
      </c>
      <c r="D19" s="276" t="s">
        <v>272</v>
      </c>
      <c r="E19" s="276" t="s">
        <v>214</v>
      </c>
      <c r="F19" s="276" t="s">
        <v>215</v>
      </c>
      <c r="G19" s="276" t="s">
        <v>213</v>
      </c>
      <c r="H19" s="50" t="s">
        <v>334</v>
      </c>
    </row>
    <row r="20" spans="1:8" ht="12.75">
      <c r="A20" s="113" t="s">
        <v>259</v>
      </c>
      <c r="B20" s="289">
        <f>'Oversikt Variabler'!B17*('Oversikt Variabler'!B31*4)</f>
        <v>115200</v>
      </c>
      <c r="C20" s="278">
        <f>'Oversikt Variabler'!B17*'Oversikt Variabler'!B35*4</f>
        <v>55200</v>
      </c>
      <c r="D20" s="278">
        <f>'Oversikt Variabler'!B17*'Oversikt Variabler'!B38*8</f>
        <v>33600</v>
      </c>
      <c r="E20" s="278" t="s">
        <v>260</v>
      </c>
      <c r="F20" s="278" t="s">
        <v>260</v>
      </c>
      <c r="G20" s="278" t="s">
        <v>260</v>
      </c>
      <c r="H20" s="290">
        <f>SUM(B20:G20)</f>
        <v>204000</v>
      </c>
    </row>
    <row r="21" spans="1:8" ht="12.75">
      <c r="A21" s="113" t="s">
        <v>381</v>
      </c>
      <c r="B21" s="289">
        <f>-B4</f>
        <v>96000</v>
      </c>
      <c r="C21" s="278">
        <f>-C4</f>
        <v>55200</v>
      </c>
      <c r="D21" s="278">
        <f>-D4</f>
        <v>33600</v>
      </c>
      <c r="E21" s="278">
        <f>-E4</f>
        <v>33600</v>
      </c>
      <c r="F21" s="278">
        <f>-F4</f>
        <v>12000</v>
      </c>
      <c r="G21" s="278">
        <f>-G4</f>
        <v>2400</v>
      </c>
      <c r="H21" s="290">
        <f>SUM(B21:G21)</f>
        <v>232800</v>
      </c>
    </row>
    <row r="22" spans="1:8" ht="12.75">
      <c r="A22" s="113" t="s">
        <v>382</v>
      </c>
      <c r="B22" s="289">
        <f>'Oversikt Variabler'!B83*'Oversikt Variabler'!D83</f>
        <v>1600</v>
      </c>
      <c r="C22" s="278">
        <f>'Oversikt Variabler'!B88*'Oversikt Variabler'!D88</f>
        <v>1600</v>
      </c>
      <c r="D22" s="278" t="s">
        <v>260</v>
      </c>
      <c r="E22" s="278" t="s">
        <v>260</v>
      </c>
      <c r="F22" s="278" t="s">
        <v>260</v>
      </c>
      <c r="G22" s="278" t="s">
        <v>260</v>
      </c>
      <c r="H22" s="290">
        <f>SUM(B22:G22)</f>
        <v>3200</v>
      </c>
    </row>
    <row r="23" spans="1:8" ht="12.75">
      <c r="A23" s="113" t="s">
        <v>383</v>
      </c>
      <c r="B23" s="289">
        <f>'Oversikt Variabler'!B84*'Oversikt Variabler'!D84</f>
        <v>1600</v>
      </c>
      <c r="C23" s="278">
        <f>'Oversikt Variabler'!B89*'Oversikt Variabler'!D89</f>
        <v>1600</v>
      </c>
      <c r="D23" s="278" t="s">
        <v>260</v>
      </c>
      <c r="E23" s="278" t="s">
        <v>260</v>
      </c>
      <c r="F23" s="278" t="s">
        <v>260</v>
      </c>
      <c r="G23" s="278" t="s">
        <v>260</v>
      </c>
      <c r="H23" s="290">
        <f>SUM(B23:G23)</f>
        <v>3200</v>
      </c>
    </row>
    <row r="24" spans="1:8" ht="12.75">
      <c r="A24" s="113" t="s">
        <v>384</v>
      </c>
      <c r="B24" s="289">
        <f>'Oversikt Variabler'!B85*'Oversikt Variabler'!D85</f>
        <v>2000</v>
      </c>
      <c r="C24" s="278">
        <f>'Oversikt Variabler'!B90*'Oversikt Variabler'!D90</f>
        <v>2000</v>
      </c>
      <c r="D24" s="278" t="s">
        <v>260</v>
      </c>
      <c r="E24" s="278" t="s">
        <v>260</v>
      </c>
      <c r="F24" s="278" t="s">
        <v>260</v>
      </c>
      <c r="G24" s="278" t="s">
        <v>260</v>
      </c>
      <c r="H24" s="290">
        <f>SUM(B24:G24)</f>
        <v>4000</v>
      </c>
    </row>
    <row r="25" spans="1:8" ht="12.75">
      <c r="A25" s="113" t="s">
        <v>112</v>
      </c>
      <c r="B25" s="289">
        <f>'Oversikt Variabler'!B33*'Oversikt Variabler'!B74</f>
        <v>570000</v>
      </c>
      <c r="C25" s="278">
        <f>'Oversikt Variabler'!B75*'Oversikt Variabler'!B36</f>
        <v>260000</v>
      </c>
      <c r="D25" s="278" t="s">
        <v>260</v>
      </c>
      <c r="E25" s="278">
        <f>('Oversikt Variabler'!B76*'Oversikt Variabler'!B46)+('Oversikt Variabler'!B77*'Oversikt Variabler'!B47)</f>
        <v>45000</v>
      </c>
      <c r="F25" s="278">
        <f>'Oversikt Variabler'!B78*'Oversikt Variabler'!B50</f>
        <v>40000</v>
      </c>
      <c r="G25" s="278">
        <f>'Oversikt Variabler'!B79*('Oversikt Variabler'!B54+'Oversikt Variabler'!B56)</f>
        <v>0</v>
      </c>
      <c r="H25" s="290">
        <f>SUM(B25:G25)</f>
        <v>915000</v>
      </c>
    </row>
    <row r="26" spans="1:9" ht="12.75">
      <c r="A26" s="113" t="s">
        <v>385</v>
      </c>
      <c r="B26" s="289">
        <f>'Oversikt Variabler'!B94*'Oversikt Variabler'!D94*('Oversikt Variabler'!B31+'Oversikt Variabler'!B32)</f>
        <v>36400</v>
      </c>
      <c r="C26" s="278">
        <f>'Oversikt Variabler'!B94*'Oversikt Variabler'!D94*'Oversikt Variabler'!B35</f>
        <v>10465</v>
      </c>
      <c r="D26" s="278">
        <f>'Oversikt Variabler'!B94*'Oversikt Variabler'!D94*('Oversikt Variabler'!B38*2)</f>
        <v>6370</v>
      </c>
      <c r="E26" s="278">
        <f>('Oversikt Variabler'!B40+'Oversikt Variabler'!B41+'Oversikt Variabler'!B42+'Oversikt Variabler'!B43+'Oversikt Variabler'!B44+'Oversikt Variabler'!B45)*'Oversikt Variabler'!B94*'Oversikt Variabler'!D94</f>
        <v>7280</v>
      </c>
      <c r="F26" s="278" t="s">
        <v>260</v>
      </c>
      <c r="G26" s="278">
        <f>('Oversikt Variabler'!B55+'Oversikt Variabler'!B57)*'Oversikt Variabler'!B94*'Oversikt Variabler'!D94</f>
        <v>1820</v>
      </c>
      <c r="H26" s="290">
        <f>SUM(B26:G26)</f>
        <v>62335</v>
      </c>
      <c r="I26" s="157"/>
    </row>
    <row r="27" spans="1:9" ht="12.75">
      <c r="A27" s="113" t="s">
        <v>386</v>
      </c>
      <c r="B27" s="289">
        <f>('Oversikt Variabler'!B31+'Oversikt Variabler'!B32)*'Oversikt Variabler'!C94*'Oversikt Variabler'!D94</f>
        <v>23400</v>
      </c>
      <c r="C27" s="278">
        <f>'Oversikt Variabler'!B35*'Oversikt Variabler'!C94*'Oversikt Variabler'!D94</f>
        <v>6727.5</v>
      </c>
      <c r="D27" s="278">
        <f>'Oversikt Variabler'!B38*'Oversikt Variabler'!C94*'Oversikt Variabler'!D94*2</f>
        <v>4095</v>
      </c>
      <c r="E27" s="278">
        <f>'Oversikt Variabler'!C94*'Oversikt Variabler'!D94*('Oversikt Variabler'!B40+'Oversikt Variabler'!B41+'Oversikt Variabler'!B42+'Oversikt Variabler'!B43+'Oversikt Variabler'!B44+'Oversikt Variabler'!B45)</f>
        <v>4680</v>
      </c>
      <c r="F27" s="278" t="s">
        <v>260</v>
      </c>
      <c r="G27" s="278">
        <f>('Oversikt Variabler'!B55+'Oversikt Variabler'!B57)*'Oversikt Variabler'!C94*'Oversikt Variabler'!D94</f>
        <v>1170</v>
      </c>
      <c r="H27" s="290">
        <f>SUM(B27:G27)</f>
        <v>40072.5</v>
      </c>
      <c r="I27" s="157"/>
    </row>
    <row r="28" spans="1:9" ht="12.75">
      <c r="A28" s="113" t="s">
        <v>387</v>
      </c>
      <c r="B28" s="289">
        <f>('Oversikt Variabler'!B31+'Oversikt Variabler'!B32+('Oversikt Variabler'!B33*5))*'Oversikt Variabler'!B93*'Oversikt Variabler'!D93</f>
        <v>42350</v>
      </c>
      <c r="C28" s="278">
        <f>'Oversikt Variabler'!B93*'Oversikt Variabler'!D93*'Oversikt Variabler'!B35</f>
        <v>8855.000000000002</v>
      </c>
      <c r="D28" s="278">
        <f>'Oversikt Variabler'!B38*'Oversikt Variabler'!B93*'Oversikt Variabler'!D93*2</f>
        <v>5390</v>
      </c>
      <c r="E28" s="278">
        <f>('Oversikt Variabler'!B40+'Oversikt Variabler'!B41+'Oversikt Variabler'!B42+'Oversikt Variabler'!B43+'Oversikt Variabler'!B46*4+'Oversikt Variabler'!B47*4)*'Oversikt Variabler'!B93*'Oversikt Variabler'!D93</f>
        <v>7700.000000000001</v>
      </c>
      <c r="F28" s="278">
        <f>'Oversikt Variabler'!B49*'Oversikt Variabler'!B93*'Oversikt Variabler'!D93</f>
        <v>7700.000000000001</v>
      </c>
      <c r="G28" s="278">
        <f>('Oversikt Variabler'!B55+'Oversikt Variabler'!B57)*'Oversikt Variabler'!B93*'Oversikt Variabler'!D93</f>
        <v>1540.0000000000002</v>
      </c>
      <c r="H28" s="290">
        <f>SUM(B28:G28)</f>
        <v>73535</v>
      </c>
      <c r="I28" s="157"/>
    </row>
    <row r="29" spans="1:9" ht="12.75">
      <c r="A29" s="113" t="s">
        <v>388</v>
      </c>
      <c r="B29" s="289">
        <f>('Oversikt Variabler'!B31+'Oversikt Variabler'!B32+('Oversikt Variabler'!B33*5))*'Oversikt Variabler'!C93*'Oversikt Variabler'!D93</f>
        <v>27225.000000000004</v>
      </c>
      <c r="C29" s="278">
        <f>'Oversikt Variabler'!B35*'Oversikt Variabler'!C93*'Oversikt Variabler'!D93</f>
        <v>5692.500000000001</v>
      </c>
      <c r="D29" s="278">
        <f>'Oversikt Variabler'!C93*'Oversikt Variabler'!D93*'Oversikt Variabler'!B38*2</f>
        <v>3465.0000000000005</v>
      </c>
      <c r="E29" s="278">
        <f>'Oversikt Variabler'!C93*'Oversikt Variabler'!D93*(('Oversikt Variabler'!B40+'Oversikt Variabler'!B41+'Oversikt Variabler'!B42+'Oversikt Variabler'!B43)+('Oversikt Variabler'!B46*4+'Oversikt Variabler'!B47*4))</f>
        <v>4950.000000000001</v>
      </c>
      <c r="F29" s="278">
        <f>'Oversikt Variabler'!C93*'Oversikt Variabler'!D93*'Oversikt Variabler'!B49</f>
        <v>4950.000000000001</v>
      </c>
      <c r="G29" s="278">
        <f>('Oversikt Variabler'!B55+'Oversikt Variabler'!B57)*'Oversikt Variabler'!C93*'Oversikt Variabler'!D93</f>
        <v>990.0000000000001</v>
      </c>
      <c r="H29" s="290">
        <f>SUM(B29:G29)</f>
        <v>47272.50000000001</v>
      </c>
      <c r="I29" s="157"/>
    </row>
    <row r="30" spans="1:9" ht="12.75">
      <c r="A30" s="113" t="s">
        <v>389</v>
      </c>
      <c r="B30" s="289">
        <f>'Oversikt Variabler'!B33*5*'Oversikt Variabler'!B95*'Oversikt Variabler'!D95</f>
        <v>13650</v>
      </c>
      <c r="C30" s="278">
        <f>'Oversikt Variabler'!B95*'Oversikt Variabler'!D95*('Oversikt Variabler'!B36*5)</f>
        <v>9100</v>
      </c>
      <c r="D30" s="278">
        <f>('Oversikt Variabler'!B38*'Oversikt Variabler'!B95)*'Oversikt Variabler'!D95</f>
        <v>3185</v>
      </c>
      <c r="E30" s="278">
        <f>('Oversikt Variabler'!B46*4+'Oversikt Variabler'!B47*4)*'Oversikt Variabler'!B95*'Oversikt Variabler'!D95</f>
        <v>5460</v>
      </c>
      <c r="F30" s="278">
        <f>'Oversikt Variabler'!B50*'Oversikt Variabler'!B95*5*'Oversikt Variabler'!D95</f>
        <v>2275</v>
      </c>
      <c r="G30" s="278" t="s">
        <v>260</v>
      </c>
      <c r="H30" s="290">
        <f>SUM(B30:G30)</f>
        <v>33670</v>
      </c>
      <c r="I30" s="157"/>
    </row>
    <row r="31" spans="1:9" ht="12.75">
      <c r="A31" s="113" t="s">
        <v>390</v>
      </c>
      <c r="B31" s="289">
        <f>'Oversikt Variabler'!B33*5*'Oversikt Variabler'!C95*'Oversikt Variabler'!D95</f>
        <v>17550</v>
      </c>
      <c r="C31" s="278">
        <f>'Oversikt Variabler'!B36*5*'Oversikt Variabler'!C95*'Oversikt Variabler'!D95</f>
        <v>11700</v>
      </c>
      <c r="D31" s="278">
        <f>('Oversikt Variabler'!B38*'Oversikt Variabler'!C95)*'Oversikt Variabler'!D95</f>
        <v>4095</v>
      </c>
      <c r="E31" s="278">
        <f>'Oversikt Variabler'!C95*'Oversikt Variabler'!D95*('Oversikt Variabler'!B46*4+'Oversikt Variabler'!B47*4)</f>
        <v>7020</v>
      </c>
      <c r="F31" s="278">
        <f>'Oversikt Variabler'!C95*'Oversikt Variabler'!D95*5*'Oversikt Variabler'!B50</f>
        <v>2925</v>
      </c>
      <c r="G31" s="278" t="s">
        <v>260</v>
      </c>
      <c r="H31" s="290">
        <f>SUM(B31:G31)</f>
        <v>43290</v>
      </c>
      <c r="I31" s="157"/>
    </row>
    <row r="32" spans="1:9" ht="12.75">
      <c r="A32" s="113" t="s">
        <v>391</v>
      </c>
      <c r="B32" s="278" t="s">
        <v>260</v>
      </c>
      <c r="C32" s="278">
        <f>('Oversikt Variabler'!B35*5)*'Oversikt Variabler'!B96*'Oversikt Variabler'!D96</f>
        <v>40250</v>
      </c>
      <c r="D32" s="278" t="s">
        <v>260</v>
      </c>
      <c r="E32" s="278"/>
      <c r="F32" s="278" t="s">
        <v>260</v>
      </c>
      <c r="G32" s="278" t="s">
        <v>260</v>
      </c>
      <c r="H32" s="290">
        <f>SUM(B32:G32)</f>
        <v>40250</v>
      </c>
      <c r="I32" s="157"/>
    </row>
    <row r="33" spans="1:9" ht="12.75">
      <c r="A33" s="113" t="s">
        <v>392</v>
      </c>
      <c r="B33" s="278" t="s">
        <v>260</v>
      </c>
      <c r="C33" s="278">
        <f>'Oversikt Variabler'!C96*'Oversikt Variabler'!D96*('Oversikt Variabler'!B35*5)</f>
        <v>40250</v>
      </c>
      <c r="D33" s="278" t="s">
        <v>260</v>
      </c>
      <c r="E33" s="278"/>
      <c r="F33" s="278" t="s">
        <v>260</v>
      </c>
      <c r="G33" s="278" t="s">
        <v>260</v>
      </c>
      <c r="H33" s="290">
        <f>SUM(B33:G33)</f>
        <v>40250</v>
      </c>
      <c r="I33" s="157"/>
    </row>
    <row r="34" spans="1:9" ht="12.75">
      <c r="A34" s="113" t="s">
        <v>393</v>
      </c>
      <c r="B34" s="289">
        <f>'Oversikt Variabler'!B33*'Oversikt Variabler'!B98*'Oversikt Variabler'!D98</f>
        <v>3120</v>
      </c>
      <c r="C34" s="278">
        <f>'Oversikt Variabler'!B36*'Oversikt Variabler'!B98*'Oversikt Variabler'!D98</f>
        <v>2080</v>
      </c>
      <c r="D34" s="278" t="s">
        <v>260</v>
      </c>
      <c r="E34" s="278">
        <f>'Oversikt Variabler'!B98-'Oversikt Variabler'!D98*('Oversikt Variabler'!B46+'Oversikt Variabler'!B47)</f>
        <v>798.05</v>
      </c>
      <c r="F34" s="278" t="s">
        <v>260</v>
      </c>
      <c r="G34" s="278" t="s">
        <v>260</v>
      </c>
      <c r="H34" s="290">
        <f>SUM(B34:G34)</f>
        <v>5998.05</v>
      </c>
      <c r="I34" s="157"/>
    </row>
    <row r="35" spans="1:9" ht="12.75">
      <c r="A35" s="113" t="s">
        <v>394</v>
      </c>
      <c r="B35" s="289">
        <f>'Oversikt Variabler'!B33*'Oversikt Variabler'!C98*'Oversikt Variabler'!D98</f>
        <v>4290</v>
      </c>
      <c r="C35" s="278">
        <f>'Oversikt Variabler'!C98*'Oversikt Variabler'!D98*'Oversikt Variabler'!B36</f>
        <v>2860</v>
      </c>
      <c r="D35" s="278" t="s">
        <v>260</v>
      </c>
      <c r="E35" s="278">
        <f>('Oversikt Variabler'!B46+'Oversikt Variabler'!B47)*'Oversikt Variabler'!C98*'Oversikt Variabler'!D98</f>
        <v>2145</v>
      </c>
      <c r="F35" s="278" t="s">
        <v>260</v>
      </c>
      <c r="G35" s="278" t="s">
        <v>260</v>
      </c>
      <c r="H35" s="290">
        <f>SUM(B35:G35)</f>
        <v>9295</v>
      </c>
      <c r="I35" s="157"/>
    </row>
    <row r="36" spans="1:9" ht="12.75">
      <c r="A36" s="113" t="s">
        <v>395</v>
      </c>
      <c r="B36" s="278" t="s">
        <v>260</v>
      </c>
      <c r="C36" s="278" t="s">
        <v>260</v>
      </c>
      <c r="D36" s="278" t="s">
        <v>260</v>
      </c>
      <c r="E36" s="278" t="s">
        <v>260</v>
      </c>
      <c r="F36" s="278">
        <f>'Oversikt Variabler'!B99*'Oversikt Variabler'!D99*'Oversikt Variabler'!B49</f>
        <v>19800</v>
      </c>
      <c r="G36" s="278" t="s">
        <v>260</v>
      </c>
      <c r="H36" s="290">
        <f>SUM(B36:G36)</f>
        <v>19800</v>
      </c>
      <c r="I36" s="157"/>
    </row>
    <row r="37" spans="1:9" ht="12.75">
      <c r="A37" s="113" t="s">
        <v>396</v>
      </c>
      <c r="B37" s="278" t="s">
        <v>260</v>
      </c>
      <c r="C37" s="278" t="s">
        <v>260</v>
      </c>
      <c r="D37" s="278" t="s">
        <v>260</v>
      </c>
      <c r="E37" s="278" t="s">
        <v>260</v>
      </c>
      <c r="F37" s="278">
        <f>'Oversikt Variabler'!B49*'Oversikt Variabler'!C99*'Oversikt Variabler'!D99</f>
        <v>21600</v>
      </c>
      <c r="G37" s="278" t="s">
        <v>260</v>
      </c>
      <c r="H37" s="290">
        <f>SUM(B37:G37)</f>
        <v>21600</v>
      </c>
      <c r="I37" s="157"/>
    </row>
    <row r="38" spans="1:8" ht="12.75">
      <c r="A38" s="113" t="s">
        <v>397</v>
      </c>
      <c r="B38" s="278"/>
      <c r="C38" s="278"/>
      <c r="D38" s="278"/>
      <c r="E38" s="278">
        <v>60000</v>
      </c>
      <c r="F38" s="278"/>
      <c r="G38" s="278"/>
      <c r="H38" s="290">
        <f>SUM(B38:G38)</f>
        <v>60000</v>
      </c>
    </row>
    <row r="39" spans="1:8" ht="12.75">
      <c r="A39" s="114" t="s">
        <v>398</v>
      </c>
      <c r="B39" s="278">
        <f>H39/5</f>
        <v>14000</v>
      </c>
      <c r="C39" s="278">
        <f>H39/5</f>
        <v>14000</v>
      </c>
      <c r="D39" s="278">
        <f>H39/5</f>
        <v>14000</v>
      </c>
      <c r="E39" s="278">
        <f>H39/5</f>
        <v>14000</v>
      </c>
      <c r="F39" s="278">
        <f>H39/5</f>
        <v>14000</v>
      </c>
      <c r="G39" s="278"/>
      <c r="H39" s="290">
        <v>70000</v>
      </c>
    </row>
    <row r="40" spans="1:8" ht="12.75">
      <c r="A40" s="113" t="s">
        <v>378</v>
      </c>
      <c r="B40" s="289">
        <f>('Oversikt Variabler'!B7*28*'Oversikt Variabler'!B4)*('Oversikt Variabler'!B31*4)+('Oversikt Variabler'!B32*'Oversikt Variabler'!B7*'Oversikt Variabler'!B4*28)</f>
        <v>896394.24</v>
      </c>
      <c r="C40" s="278">
        <f>'Oversikt Variabler'!B7*'Oversikt Variabler'!B4*'Oversikt Variabler'!B35*4*23</f>
        <v>302418.72000000003</v>
      </c>
      <c r="D40" s="278">
        <f>'Oversikt Variabler'!B10*'Oversikt Variabler'!B4*'Oversikt Variabler'!B38*8</f>
        <v>66171.84</v>
      </c>
      <c r="E40" s="278">
        <f>(((('Oversikt Variabler'!B7*8)*(('Oversikt Variabler'!B40*6)+('Oversikt Variabler'!B42*6)+'Oversikt Variabler'!B44))+(('Oversikt Variabler'!B7*15)*(('Oversikt Variabler'!B41*6)+('Oversikt Variabler'!B43*6)+'Oversikt Variabler'!B45)))*'Oversikt Variabler'!B4)</f>
        <v>84036.95999999999</v>
      </c>
      <c r="F40" s="278">
        <f>'Oversikt Variabler'!B7*'Oversikt Variabler'!B4*'Oversikt Variabler'!B49*21</f>
        <v>60026.40000000001</v>
      </c>
      <c r="G40" s="278">
        <f>((('Oversikt Variabler'!B9*'Oversikt Variabler'!B52*18)+('Oversikt Variabler'!B9*'Oversikt Variabler'!B53*23))*'Oversikt Variabler'!B4)</f>
        <v>5616</v>
      </c>
      <c r="H40" s="290">
        <f>SUM(B40:G40)</f>
        <v>1414664.1600000001</v>
      </c>
    </row>
    <row r="41" spans="1:8" ht="12.75">
      <c r="A41" s="113" t="s">
        <v>267</v>
      </c>
      <c r="B41" s="289">
        <f>((('Oversikt Variabler'!B8*'Oversikt Variabler'!B4)+('Oversikt Variabler'!B32))*('Oversikt Variabler'!B31*5))</f>
        <v>71040</v>
      </c>
      <c r="C41" s="289">
        <f>(('Oversikt Variabler'!B8*'Oversikt Variabler'!B4)*('Oversikt Variabler'!B35*5))</f>
        <v>30360</v>
      </c>
      <c r="D41" s="289">
        <f>(('Oversikt Variabler'!B8*'Oversikt Variabler'!B4)*('Oversikt Variabler'!B38*9))</f>
        <v>16632</v>
      </c>
      <c r="E41" s="289">
        <f>(('Oversikt Variabler'!B8*'Oversikt Variabler'!B4)*(('Oversikt Variabler'!B40*7)+('Oversikt Variabler'!B41*7)+('Oversikt Variabler'!B42*7)+('Oversikt Variabler'!B43*7)+'Oversikt Variabler'!B44+'Oversikt Variabler'!B45))</f>
        <v>16896</v>
      </c>
      <c r="F41" s="289">
        <f>('Oversikt Variabler'!B49*('Oversikt Variabler'!B8*'Oversikt Variabler'!B4))</f>
        <v>5280</v>
      </c>
      <c r="G41" s="289">
        <f>(('Oversikt Variabler'!B52+'Oversikt Variabler'!B53)*('Oversikt Variabler'!B8*'Oversikt Variabler'!B4))</f>
        <v>1056</v>
      </c>
      <c r="H41" s="290">
        <f>SUM(B41:G41)</f>
        <v>141264</v>
      </c>
    </row>
    <row r="42" spans="1:8" ht="12.75">
      <c r="A42" s="113" t="s">
        <v>399</v>
      </c>
      <c r="B42" s="289">
        <f>-('Oversikt Variabler'!B61*'Oversikt Variabler'!B4*'Oversikt Variabler'!B33)</f>
        <v>-707217.4788336001</v>
      </c>
      <c r="C42" s="278">
        <f>-('Oversikt Variabler'!B62*'Oversikt Variabler'!B36*'Oversikt Variabler'!B4)</f>
        <v>-258190.50814559998</v>
      </c>
      <c r="D42" s="278" t="s">
        <v>260</v>
      </c>
      <c r="E42" s="278">
        <f>-(('Oversikt Variabler'!B64*15*('Oversikt Variabler'!B45+(('Oversikt Variabler'!B41+'Oversikt Variabler'!B43)*6)))+('Oversikt Variabler'!B64*8*('Oversikt Variabler'!B44+(('Oversikt Variabler'!B40+'Oversikt Variabler'!B42)*6))))*'Oversikt Variabler'!B4</f>
        <v>-45837.54</v>
      </c>
      <c r="F42" s="278">
        <f>-('Oversikt Variabler'!B65*21*'Oversikt Variabler'!B50*'Oversikt Variabler'!B4*25)</f>
        <v>-20583.000018000002</v>
      </c>
      <c r="G42" s="278">
        <f>-('Oversikt Variabler'!B63*21*'Oversikt Variabler'!B56*'Oversikt Variabler'!B4*23)</f>
        <v>0</v>
      </c>
      <c r="H42" s="290">
        <f>SUM(B42:G42)</f>
        <v>-1031828.5269972</v>
      </c>
    </row>
    <row r="43" spans="1:8" ht="12.75">
      <c r="A43" s="291" t="s">
        <v>400</v>
      </c>
      <c r="B43" s="292">
        <f>SUM(B20:B42)</f>
        <v>1228601.7611663998</v>
      </c>
      <c r="C43" s="292">
        <f>SUM(C20:C42)</f>
        <v>602168.2118544</v>
      </c>
      <c r="D43" s="292">
        <f>SUM(D20:D42)</f>
        <v>190603.84</v>
      </c>
      <c r="E43" s="292">
        <f>SUM(E20:E42)</f>
        <v>247728.46999999997</v>
      </c>
      <c r="F43" s="292">
        <f>SUM(F20:F42)</f>
        <v>169973.39998200003</v>
      </c>
      <c r="G43" s="292">
        <f>SUM(G20:G42)</f>
        <v>14592</v>
      </c>
      <c r="H43" s="293">
        <f>SUM(H20:H42)</f>
        <v>2453667.6830027997</v>
      </c>
    </row>
    <row r="44" spans="1:8" ht="12.75">
      <c r="A44" s="110" t="s">
        <v>87</v>
      </c>
      <c r="B44" s="289">
        <f>-B5</f>
        <v>0</v>
      </c>
      <c r="C44" s="289">
        <f>-C5</f>
        <v>0</v>
      </c>
      <c r="D44" s="289">
        <f>-D5</f>
        <v>0</v>
      </c>
      <c r="E44" s="289">
        <f>-E5</f>
        <v>0</v>
      </c>
      <c r="F44" s="289">
        <f>-F5</f>
        <v>0</v>
      </c>
      <c r="G44" s="289">
        <f>-G5</f>
        <v>0</v>
      </c>
      <c r="H44" s="289">
        <f>SUM(B44:G44)</f>
        <v>0</v>
      </c>
    </row>
    <row r="45" spans="1:8" ht="12.75">
      <c r="A45" s="110" t="s">
        <v>401</v>
      </c>
      <c r="B45" s="289">
        <f>B43+B44</f>
        <v>1228601.7611663998</v>
      </c>
      <c r="C45" s="289">
        <f>C43+C44</f>
        <v>602168.2118544</v>
      </c>
      <c r="D45" s="289">
        <f>D43+D44</f>
        <v>190603.84</v>
      </c>
      <c r="E45" s="289">
        <f>E43+E44</f>
        <v>247728.46999999997</v>
      </c>
      <c r="F45" s="289">
        <f>F43+F44</f>
        <v>169973.39998200003</v>
      </c>
      <c r="G45" s="289">
        <f>G43+G44</f>
        <v>14592</v>
      </c>
      <c r="H45" s="289">
        <f>SUM(B45:G45)</f>
        <v>2453667.6830027997</v>
      </c>
    </row>
    <row r="46" spans="1:8" ht="12.75">
      <c r="A46" s="294" t="s">
        <v>402</v>
      </c>
      <c r="B46" s="295">
        <f>-(B15+B45)</f>
        <v>59989.438833600376</v>
      </c>
      <c r="C46" s="295">
        <f>-(C15+C45)</f>
        <v>-17816.511854400043</v>
      </c>
      <c r="D46" s="295">
        <f>-(D15+D45)</f>
        <v>-37863.84</v>
      </c>
      <c r="E46" s="295">
        <f>-(E15+E45)</f>
        <v>-30568.469999999972</v>
      </c>
      <c r="F46" s="295">
        <f>-(F15+F45)</f>
        <v>-47973.39998200003</v>
      </c>
      <c r="G46" s="295">
        <f>-(G15+G45)</f>
        <v>-992</v>
      </c>
      <c r="H46" s="295">
        <f>-(H15+H45)</f>
        <v>-75224.78300279984</v>
      </c>
    </row>
    <row r="47" ht="12.75">
      <c r="H47" s="296"/>
    </row>
  </sheetData>
  <sheetProtection selectLockedCells="1" selectUnlockedCells="1"/>
  <mergeCells count="2">
    <mergeCell ref="I7:I10"/>
    <mergeCell ref="I26:I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="60" zoomScaleNormal="60" workbookViewId="0" topLeftCell="A1">
      <selection activeCell="D13" sqref="D13"/>
    </sheetView>
  </sheetViews>
  <sheetFormatPr defaultColWidth="12.57421875" defaultRowHeight="12.75" customHeight="1"/>
  <cols>
    <col min="1" max="1" width="43.7109375" style="297" customWidth="1"/>
    <col min="2" max="2" width="34.28125" style="297" customWidth="1"/>
    <col min="3" max="3" width="17.28125" style="297" customWidth="1"/>
    <col min="4" max="6" width="18.421875" style="297" customWidth="1"/>
    <col min="7" max="7" width="19.28125" style="297" customWidth="1"/>
    <col min="8" max="8" width="18.7109375" style="297" customWidth="1"/>
    <col min="9" max="9" width="77.8515625" style="297" customWidth="1"/>
    <col min="10" max="16384" width="12.57421875" style="297" customWidth="1"/>
  </cols>
  <sheetData>
    <row r="1" spans="1:4" ht="18" customHeight="1">
      <c r="A1" s="298" t="s">
        <v>403</v>
      </c>
      <c r="B1" s="298"/>
      <c r="C1" s="298"/>
      <c r="D1" s="298"/>
    </row>
    <row r="2" spans="1:9" ht="38.25" customHeight="1">
      <c r="A2" s="299"/>
      <c r="B2" s="299"/>
      <c r="C2" s="299"/>
      <c r="D2" s="299"/>
      <c r="E2" s="300" t="s">
        <v>404</v>
      </c>
      <c r="F2" s="300" t="s">
        <v>405</v>
      </c>
      <c r="G2" s="300" t="s">
        <v>406</v>
      </c>
      <c r="H2" s="301" t="s">
        <v>407</v>
      </c>
      <c r="I2" s="299"/>
    </row>
    <row r="3" spans="1:9" ht="12.75" customHeight="1">
      <c r="A3" s="302" t="s">
        <v>408</v>
      </c>
      <c r="B3" s="302" t="s">
        <v>409</v>
      </c>
      <c r="C3" s="302" t="s">
        <v>410</v>
      </c>
      <c r="D3" s="303" t="s">
        <v>411</v>
      </c>
      <c r="E3" s="304" t="s">
        <v>412</v>
      </c>
      <c r="F3" s="303" t="s">
        <v>413</v>
      </c>
      <c r="G3" s="303" t="s">
        <v>414</v>
      </c>
      <c r="H3" s="303" t="s">
        <v>415</v>
      </c>
      <c r="I3" s="303" t="s">
        <v>416</v>
      </c>
    </row>
    <row r="4" spans="1:9" ht="12.75" customHeight="1">
      <c r="A4" s="305" t="s">
        <v>417</v>
      </c>
      <c r="B4" s="305" t="s">
        <v>418</v>
      </c>
      <c r="C4" s="306">
        <v>42634</v>
      </c>
      <c r="D4" s="307">
        <v>30000</v>
      </c>
      <c r="E4" s="307">
        <v>30000</v>
      </c>
      <c r="F4" s="307">
        <v>30000</v>
      </c>
      <c r="G4" s="307"/>
      <c r="H4" s="307"/>
      <c r="I4" s="308"/>
    </row>
    <row r="5" spans="1:9" ht="12.75" customHeight="1">
      <c r="A5" s="305" t="s">
        <v>419</v>
      </c>
      <c r="B5" s="305" t="s">
        <v>420</v>
      </c>
      <c r="C5" s="309" t="s">
        <v>421</v>
      </c>
      <c r="D5" s="307">
        <v>750000</v>
      </c>
      <c r="E5" s="307">
        <v>740000</v>
      </c>
      <c r="F5" s="307">
        <v>610000</v>
      </c>
      <c r="G5" s="307">
        <v>130000</v>
      </c>
      <c r="H5" s="307"/>
      <c r="I5" s="308" t="s">
        <v>422</v>
      </c>
    </row>
    <row r="6" spans="1:9" ht="12.75" customHeight="1">
      <c r="A6" s="305" t="s">
        <v>423</v>
      </c>
      <c r="B6" s="305" t="s">
        <v>424</v>
      </c>
      <c r="C6" s="309">
        <v>2016</v>
      </c>
      <c r="D6" s="307">
        <v>150000</v>
      </c>
      <c r="E6" s="307">
        <v>150000</v>
      </c>
      <c r="F6" s="307">
        <v>140000</v>
      </c>
      <c r="G6" s="307">
        <v>10000</v>
      </c>
      <c r="H6" s="307"/>
      <c r="I6" s="308"/>
    </row>
    <row r="7" spans="1:9" ht="12.75" customHeight="1">
      <c r="A7" s="305" t="s">
        <v>425</v>
      </c>
      <c r="B7" s="305" t="s">
        <v>426</v>
      </c>
      <c r="C7" s="309" t="s">
        <v>427</v>
      </c>
      <c r="D7" s="307">
        <v>70000</v>
      </c>
      <c r="E7" s="307">
        <v>70000</v>
      </c>
      <c r="F7" s="307">
        <v>0</v>
      </c>
      <c r="G7" s="307"/>
      <c r="H7" s="307"/>
      <c r="I7" s="308"/>
    </row>
    <row r="8" spans="1:9" ht="12.75" customHeight="1">
      <c r="A8" s="305" t="s">
        <v>428</v>
      </c>
      <c r="B8" s="305" t="s">
        <v>429</v>
      </c>
      <c r="C8" s="309">
        <v>2016</v>
      </c>
      <c r="D8" s="307">
        <v>70000</v>
      </c>
      <c r="E8" s="307">
        <v>70000</v>
      </c>
      <c r="F8" s="307">
        <v>70000</v>
      </c>
      <c r="G8" s="307"/>
      <c r="H8" s="307">
        <v>70000</v>
      </c>
      <c r="I8" s="308" t="s">
        <v>430</v>
      </c>
    </row>
    <row r="9" spans="1:9" ht="12.75" customHeight="1">
      <c r="A9" s="305" t="s">
        <v>431</v>
      </c>
      <c r="B9" s="305" t="s">
        <v>429</v>
      </c>
      <c r="C9" s="309">
        <v>2016</v>
      </c>
      <c r="D9" s="307">
        <v>70000</v>
      </c>
      <c r="E9" s="307">
        <v>70000</v>
      </c>
      <c r="F9" s="307">
        <v>70000</v>
      </c>
      <c r="G9" s="307"/>
      <c r="H9" s="307">
        <v>70000</v>
      </c>
      <c r="I9" s="308"/>
    </row>
    <row r="10" spans="1:9" ht="12.75" customHeight="1">
      <c r="A10" s="305" t="s">
        <v>432</v>
      </c>
      <c r="B10" s="305" t="s">
        <v>433</v>
      </c>
      <c r="C10" s="309">
        <v>2016</v>
      </c>
      <c r="D10" s="310">
        <v>10000</v>
      </c>
      <c r="E10" s="310">
        <v>10000</v>
      </c>
      <c r="F10" s="310">
        <v>10000</v>
      </c>
      <c r="G10" s="310"/>
      <c r="H10" s="310"/>
      <c r="I10" s="308"/>
    </row>
    <row r="11" spans="1:9" ht="12.75" customHeight="1">
      <c r="A11" s="305"/>
      <c r="B11" s="305"/>
      <c r="C11" s="309"/>
      <c r="D11" s="310"/>
      <c r="E11" s="310"/>
      <c r="F11" s="310"/>
      <c r="G11" s="310"/>
      <c r="H11" s="310"/>
      <c r="I11" s="308"/>
    </row>
    <row r="12" spans="1:9" ht="12.75" customHeight="1">
      <c r="A12" s="305"/>
      <c r="B12" s="305"/>
      <c r="C12" s="309"/>
      <c r="D12" s="310"/>
      <c r="E12" s="310"/>
      <c r="F12" s="310"/>
      <c r="G12" s="310"/>
      <c r="H12" s="310"/>
      <c r="I12" s="308"/>
    </row>
    <row r="13" spans="1:9" ht="12.75" customHeight="1">
      <c r="A13" s="311"/>
      <c r="B13" s="311"/>
      <c r="C13" s="311"/>
      <c r="D13" s="312">
        <f>SUM(D4:D12)</f>
        <v>1150000</v>
      </c>
      <c r="E13" s="312">
        <f>SUM(E4:E12)</f>
        <v>1140000</v>
      </c>
      <c r="F13" s="312">
        <f>SUM(F4:F12)</f>
        <v>930000</v>
      </c>
      <c r="G13" s="312">
        <f>SUM(G4:G12)</f>
        <v>140000</v>
      </c>
      <c r="H13" s="312">
        <f>SUM(H4:H12)</f>
        <v>140000</v>
      </c>
      <c r="I13" s="313" t="s">
        <v>434</v>
      </c>
    </row>
    <row r="14" spans="1:9" ht="12.75" customHeight="1">
      <c r="A14" s="314"/>
      <c r="B14" s="314"/>
      <c r="C14" s="315"/>
      <c r="D14" s="315"/>
      <c r="E14" s="315"/>
      <c r="F14" s="315"/>
      <c r="G14" s="315"/>
      <c r="H14" s="315"/>
      <c r="I14" s="315"/>
    </row>
    <row r="17" ht="12.75" customHeight="1">
      <c r="A17" s="316"/>
    </row>
    <row r="19" spans="1:3" ht="12.75" customHeight="1">
      <c r="A19" s="317"/>
      <c r="B19" s="317"/>
      <c r="C19" s="317"/>
    </row>
    <row r="20" spans="1:3" ht="12.75" customHeight="1">
      <c r="A20" s="317"/>
      <c r="B20" s="317"/>
      <c r="C20" s="317"/>
    </row>
    <row r="21" spans="1:3" ht="12.75" customHeight="1">
      <c r="A21" s="317"/>
      <c r="B21" s="317"/>
      <c r="C21" s="317"/>
    </row>
    <row r="22" spans="1:3" ht="12.75" customHeight="1">
      <c r="A22" s="317"/>
      <c r="B22" s="317"/>
      <c r="C22" s="317"/>
    </row>
  </sheetData>
  <sheetProtection selectLockedCells="1" selectUnlockedCells="1"/>
  <mergeCells count="2">
    <mergeCell ref="A1:D1"/>
    <mergeCell ref="A19:C2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60" zoomScaleNormal="60" workbookViewId="0" topLeftCell="A1">
      <selection activeCell="D14" sqref="D14"/>
    </sheetView>
  </sheetViews>
  <sheetFormatPr defaultColWidth="12.57421875" defaultRowHeight="12.75"/>
  <cols>
    <col min="1" max="1" width="27.57421875" style="110" customWidth="1"/>
    <col min="2" max="12" width="15.00390625" style="110" customWidth="1"/>
    <col min="13" max="16384" width="12.57421875" style="110" customWidth="1"/>
  </cols>
  <sheetData>
    <row r="1" spans="1:12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ht="12.75">
      <c r="A2" s="263" t="s">
        <v>111</v>
      </c>
      <c r="B2" s="246" t="s">
        <v>218</v>
      </c>
      <c r="C2" s="246" t="s">
        <v>212</v>
      </c>
      <c r="D2" s="246" t="s">
        <v>272</v>
      </c>
      <c r="E2" s="246" t="s">
        <v>214</v>
      </c>
      <c r="F2" s="246" t="s">
        <v>215</v>
      </c>
      <c r="G2" s="246" t="s">
        <v>213</v>
      </c>
      <c r="H2" s="246" t="s">
        <v>435</v>
      </c>
      <c r="I2" s="246" t="s">
        <v>436</v>
      </c>
      <c r="J2" s="246" t="s">
        <v>437</v>
      </c>
      <c r="K2" s="246" t="s">
        <v>438</v>
      </c>
      <c r="L2" s="114" t="s">
        <v>439</v>
      </c>
      <c r="M2" s="246" t="s">
        <v>334</v>
      </c>
    </row>
    <row r="3" spans="1:13" ht="12.75">
      <c r="A3" s="198" t="s">
        <v>440</v>
      </c>
      <c r="B3" s="318">
        <v>4000</v>
      </c>
      <c r="C3" s="318">
        <v>1400</v>
      </c>
      <c r="D3" s="318">
        <v>0</v>
      </c>
      <c r="E3" s="318">
        <v>3000</v>
      </c>
      <c r="F3" s="318">
        <v>3000</v>
      </c>
      <c r="G3" s="318">
        <v>1500</v>
      </c>
      <c r="H3" s="318">
        <v>4500</v>
      </c>
      <c r="I3" s="318">
        <v>2000</v>
      </c>
      <c r="J3" s="318">
        <v>4500</v>
      </c>
      <c r="K3" s="318">
        <v>1500</v>
      </c>
      <c r="L3" s="319">
        <v>5400</v>
      </c>
      <c r="M3" s="320">
        <f>SUM(B3:L3)</f>
        <v>30800</v>
      </c>
    </row>
    <row r="4" spans="1:13" ht="12.75">
      <c r="A4" s="198" t="s">
        <v>325</v>
      </c>
      <c r="B4" s="318">
        <v>4000</v>
      </c>
      <c r="C4" s="318">
        <v>1400</v>
      </c>
      <c r="D4" s="318">
        <v>0</v>
      </c>
      <c r="E4" s="318">
        <v>3000</v>
      </c>
      <c r="F4" s="318">
        <v>3000</v>
      </c>
      <c r="G4" s="318">
        <v>1500</v>
      </c>
      <c r="H4" s="318">
        <v>7500</v>
      </c>
      <c r="I4" s="318">
        <v>2000</v>
      </c>
      <c r="J4" s="318">
        <v>4500</v>
      </c>
      <c r="K4" s="318">
        <v>3000</v>
      </c>
      <c r="L4" s="319">
        <v>6000</v>
      </c>
      <c r="M4" s="320">
        <f>SUM(B4:L4)</f>
        <v>35900</v>
      </c>
    </row>
    <row r="5" spans="1:13" ht="12.75">
      <c r="A5" s="198" t="s">
        <v>441</v>
      </c>
      <c r="B5" s="318"/>
      <c r="C5" s="318"/>
      <c r="D5" s="318">
        <v>800</v>
      </c>
      <c r="E5" s="318"/>
      <c r="F5" s="318"/>
      <c r="G5" s="318"/>
      <c r="H5" s="318"/>
      <c r="I5" s="318"/>
      <c r="J5" s="318"/>
      <c r="K5" s="318"/>
      <c r="L5" s="319"/>
      <c r="M5" s="320">
        <f>SUM(B5:L5)</f>
        <v>800</v>
      </c>
    </row>
    <row r="6" spans="1:13" ht="12.75">
      <c r="A6" s="198" t="s">
        <v>442</v>
      </c>
      <c r="B6" s="318"/>
      <c r="C6" s="318"/>
      <c r="D6" s="318"/>
      <c r="E6" s="318"/>
      <c r="F6" s="318"/>
      <c r="G6" s="318"/>
      <c r="H6" s="318"/>
      <c r="I6" s="318"/>
      <c r="J6" s="318"/>
      <c r="K6" s="318">
        <v>10000</v>
      </c>
      <c r="L6" s="319"/>
      <c r="M6" s="320">
        <f>SUM(B6:L6)</f>
        <v>10000</v>
      </c>
    </row>
    <row r="7" spans="1:13" ht="12.75">
      <c r="A7" s="198" t="s">
        <v>443</v>
      </c>
      <c r="B7" s="318"/>
      <c r="C7" s="318"/>
      <c r="D7" s="318"/>
      <c r="E7" s="318"/>
      <c r="F7" s="318"/>
      <c r="G7" s="318"/>
      <c r="H7" s="318"/>
      <c r="I7" s="318"/>
      <c r="J7" s="318"/>
      <c r="K7" s="318">
        <v>1000</v>
      </c>
      <c r="L7" s="319"/>
      <c r="M7" s="320">
        <f>SUM(B7:L7)</f>
        <v>1000</v>
      </c>
    </row>
    <row r="8" spans="1:13" ht="12.75">
      <c r="A8" s="198" t="s">
        <v>444</v>
      </c>
      <c r="B8" s="318"/>
      <c r="C8" s="318">
        <v>4000</v>
      </c>
      <c r="D8" s="318">
        <v>1000</v>
      </c>
      <c r="E8" s="318">
        <v>4000</v>
      </c>
      <c r="F8" s="318"/>
      <c r="G8" s="318"/>
      <c r="H8" s="318"/>
      <c r="I8" s="318"/>
      <c r="J8" s="318"/>
      <c r="K8" s="318">
        <v>3000</v>
      </c>
      <c r="L8" s="321"/>
      <c r="M8" s="320">
        <f>SUM(B8:L8)</f>
        <v>12000</v>
      </c>
    </row>
    <row r="9" spans="1:13" ht="12.75">
      <c r="A9" s="198" t="s">
        <v>445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9"/>
      <c r="M9" s="320">
        <f>SUM(B9:L9)</f>
        <v>0</v>
      </c>
    </row>
    <row r="10" spans="1:13" ht="12.75">
      <c r="A10" s="198" t="s">
        <v>446</v>
      </c>
      <c r="B10" s="318"/>
      <c r="C10" s="318"/>
      <c r="D10" s="318"/>
      <c r="E10" s="318"/>
      <c r="F10" s="318"/>
      <c r="G10" s="318"/>
      <c r="H10" s="318">
        <v>5000</v>
      </c>
      <c r="I10" s="318"/>
      <c r="J10" s="318"/>
      <c r="K10" s="318"/>
      <c r="L10" s="319"/>
      <c r="M10" s="320">
        <f>SUM(B10:L10)</f>
        <v>5000</v>
      </c>
    </row>
    <row r="11" spans="1:13" ht="12.75">
      <c r="A11" s="198" t="s">
        <v>447</v>
      </c>
      <c r="B11" s="318"/>
      <c r="C11" s="318"/>
      <c r="D11" s="318"/>
      <c r="E11" s="318"/>
      <c r="F11" s="318"/>
      <c r="G11" s="318"/>
      <c r="H11" s="318">
        <v>9500</v>
      </c>
      <c r="I11" s="318"/>
      <c r="J11" s="318"/>
      <c r="K11" s="318"/>
      <c r="L11" s="319"/>
      <c r="M11" s="320">
        <f>SUM(B11:L11)</f>
        <v>9500</v>
      </c>
    </row>
    <row r="12" spans="1:13" ht="12.75">
      <c r="A12" s="198" t="s">
        <v>448</v>
      </c>
      <c r="B12" s="318"/>
      <c r="C12" s="318"/>
      <c r="D12" s="318"/>
      <c r="E12" s="318"/>
      <c r="F12" s="318"/>
      <c r="G12" s="318"/>
      <c r="H12" s="318">
        <v>5000</v>
      </c>
      <c r="I12" s="318"/>
      <c r="J12" s="318"/>
      <c r="K12" s="318"/>
      <c r="L12" s="319"/>
      <c r="M12" s="320">
        <f>SUM(B12:L12)</f>
        <v>5000</v>
      </c>
    </row>
    <row r="13" spans="1:13" ht="12.75">
      <c r="A13" s="198" t="s">
        <v>449</v>
      </c>
      <c r="B13" s="318"/>
      <c r="C13" s="318"/>
      <c r="D13" s="318"/>
      <c r="E13" s="318"/>
      <c r="F13" s="318"/>
      <c r="G13" s="318"/>
      <c r="H13" s="318">
        <v>4500</v>
      </c>
      <c r="I13" s="318"/>
      <c r="J13" s="318"/>
      <c r="K13" s="318"/>
      <c r="L13" s="319"/>
      <c r="M13" s="320">
        <f>SUM(B13:L13)</f>
        <v>4500</v>
      </c>
    </row>
    <row r="14" spans="1:13" ht="12.75">
      <c r="A14" s="198" t="s">
        <v>450</v>
      </c>
      <c r="B14" s="318"/>
      <c r="C14" s="318">
        <v>3000</v>
      </c>
      <c r="D14" s="318"/>
      <c r="E14" s="318"/>
      <c r="F14" s="318"/>
      <c r="G14" s="318"/>
      <c r="H14" s="318"/>
      <c r="I14" s="318"/>
      <c r="J14" s="318"/>
      <c r="K14" s="318"/>
      <c r="L14" s="319"/>
      <c r="M14" s="320">
        <f>SUM(B14:L14)</f>
        <v>3000</v>
      </c>
    </row>
    <row r="15" spans="1:13" ht="12.75">
      <c r="A15" s="198" t="s">
        <v>451</v>
      </c>
      <c r="B15" s="318"/>
      <c r="C15" s="318">
        <v>3000</v>
      </c>
      <c r="D15" s="318"/>
      <c r="E15" s="318"/>
      <c r="F15" s="318"/>
      <c r="G15" s="318"/>
      <c r="H15" s="318"/>
      <c r="I15" s="318"/>
      <c r="J15" s="318"/>
      <c r="K15" s="318"/>
      <c r="L15" s="319"/>
      <c r="M15" s="320">
        <f>SUM(B15:L15)</f>
        <v>3000</v>
      </c>
    </row>
    <row r="16" spans="1:13" ht="12.75">
      <c r="A16" s="322" t="s">
        <v>452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4"/>
      <c r="L16" s="323"/>
      <c r="M16" s="320">
        <f>SUM(B16:L16)</f>
        <v>0</v>
      </c>
    </row>
    <row r="17" spans="1:13" ht="12.75">
      <c r="A17" s="325" t="s">
        <v>334</v>
      </c>
      <c r="B17" s="325">
        <f>SUM(B3:B16)</f>
        <v>8000</v>
      </c>
      <c r="C17" s="325">
        <f>SUM(C3:C16)</f>
        <v>12800</v>
      </c>
      <c r="D17" s="325">
        <f>SUM(D3:D16)</f>
        <v>1800</v>
      </c>
      <c r="E17" s="325">
        <f>SUM(E3:E16)</f>
        <v>10000</v>
      </c>
      <c r="F17" s="325">
        <f>SUM(F3:F16)</f>
        <v>6000</v>
      </c>
      <c r="G17" s="325">
        <f>SUM(G3:G16)</f>
        <v>3000</v>
      </c>
      <c r="H17" s="325">
        <f>SUM(H3:H16)</f>
        <v>36000</v>
      </c>
      <c r="I17" s="325">
        <f>SUM(I3:I16)</f>
        <v>4000</v>
      </c>
      <c r="J17" s="325">
        <f>SUM(J3:J16)</f>
        <v>9000</v>
      </c>
      <c r="K17" s="325">
        <f>SUM(K3:K16)</f>
        <v>18500</v>
      </c>
      <c r="L17" s="326">
        <f>SUM(L3:L16)</f>
        <v>11400</v>
      </c>
      <c r="M17" s="327">
        <f>SUM(B17:L17)</f>
        <v>120500</v>
      </c>
    </row>
    <row r="18" spans="1:13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</row>
    <row r="19" spans="1:13" ht="12.7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</row>
    <row r="20" spans="1:13" ht="12.75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</row>
    <row r="21" spans="1:13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</row>
    <row r="22" spans="1:13" ht="12.75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6" ht="12.75">
      <c r="G26" s="18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Mjelva</dc:creator>
  <cp:keywords/>
  <dc:description/>
  <cp:lastModifiedBy>Tor Gunnar Saakvitne</cp:lastModifiedBy>
  <dcterms:created xsi:type="dcterms:W3CDTF">2016-03-14T17:05:23Z</dcterms:created>
  <dcterms:modified xsi:type="dcterms:W3CDTF">2016-04-06T18:18:33Z</dcterms:modified>
  <cp:category/>
  <cp:version/>
  <cp:contentType/>
  <cp:contentStatus/>
  <cp:revision>18</cp:revision>
</cp:coreProperties>
</file>