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652" activeTab="5"/>
  </bookViews>
  <sheets>
    <sheet name="Budsjettanalyse" sheetId="1" r:id="rId1"/>
    <sheet name="Budsjett_enkel" sheetId="2" r:id="rId2"/>
    <sheet name="FinansFond" sheetId="3" r:id="rId3"/>
    <sheet name="Oversikt Variabler" sheetId="4" r:id="rId4"/>
    <sheet name="Oversikt Pris" sheetId="5" r:id="rId5"/>
    <sheet name="Sentralt" sheetId="6" r:id="rId6"/>
    <sheet name="Program" sheetId="7" r:id="rId7"/>
    <sheet name="Komiteer" sheetId="8" r:id="rId8"/>
    <sheet name="Prosjekter" sheetId="9" r:id="rId9"/>
  </sheets>
  <calcPr calcId="145621" iterateDelta="1E-4"/>
</workbook>
</file>

<file path=xl/calcChain.xml><?xml version="1.0" encoding="utf-8"?>
<calcChain xmlns="http://schemas.openxmlformats.org/spreadsheetml/2006/main">
  <c r="C4" i="2" l="1"/>
  <c r="E4" i="2"/>
  <c r="E6" i="2" s="1"/>
  <c r="E5" i="2"/>
  <c r="D6" i="2"/>
  <c r="D16" i="2" s="1"/>
  <c r="D75" i="2" s="1"/>
  <c r="D81" i="2" s="1"/>
  <c r="D89" i="2" s="1"/>
  <c r="J6" i="2"/>
  <c r="J16" i="2"/>
  <c r="L6" i="2"/>
  <c r="E7" i="2"/>
  <c r="E8" i="2"/>
  <c r="F8" i="2"/>
  <c r="C8" i="2" s="1"/>
  <c r="C8" i="1" s="1"/>
  <c r="E9" i="2"/>
  <c r="E10" i="2"/>
  <c r="L10" i="2"/>
  <c r="C10" i="2" s="1"/>
  <c r="C10" i="1" s="1"/>
  <c r="H10" i="1" s="1"/>
  <c r="I10" i="1" s="1"/>
  <c r="C11" i="2"/>
  <c r="C11" i="1" s="1"/>
  <c r="E11" i="2"/>
  <c r="E12" i="2"/>
  <c r="F12" i="2"/>
  <c r="C12" i="2" s="1"/>
  <c r="C12" i="1" s="1"/>
  <c r="E13" i="2"/>
  <c r="L13" i="2"/>
  <c r="C13" i="2"/>
  <c r="C14" i="2"/>
  <c r="E14" i="2"/>
  <c r="F14" i="2"/>
  <c r="D15" i="2"/>
  <c r="D14" i="1" s="1"/>
  <c r="G15" i="2"/>
  <c r="G16" i="2" s="1"/>
  <c r="I15" i="2"/>
  <c r="J15" i="2"/>
  <c r="K15" i="2"/>
  <c r="K16" i="2" s="1"/>
  <c r="K75" i="2" s="1"/>
  <c r="M15" i="2"/>
  <c r="I16" i="2"/>
  <c r="I75" i="2" s="1"/>
  <c r="M16" i="2"/>
  <c r="E19" i="2"/>
  <c r="E27" i="2" s="1"/>
  <c r="F19" i="2"/>
  <c r="E20" i="2"/>
  <c r="C21" i="2"/>
  <c r="C21" i="1" s="1"/>
  <c r="H21" i="1" s="1"/>
  <c r="I21" i="1" s="1"/>
  <c r="E21" i="2"/>
  <c r="E22" i="2"/>
  <c r="E23" i="2"/>
  <c r="E24" i="2"/>
  <c r="F24" i="2"/>
  <c r="C24" i="2"/>
  <c r="C24" i="1" s="1"/>
  <c r="E25" i="2"/>
  <c r="C26" i="2"/>
  <c r="C26" i="1" s="1"/>
  <c r="E26" i="2"/>
  <c r="L26" i="2"/>
  <c r="D27" i="2"/>
  <c r="D74" i="2" s="1"/>
  <c r="G27" i="2"/>
  <c r="I27" i="2"/>
  <c r="I74" i="2"/>
  <c r="J27" i="2"/>
  <c r="K27" i="2"/>
  <c r="K74" i="2" s="1"/>
  <c r="L27" i="2"/>
  <c r="M27" i="2"/>
  <c r="C28" i="2"/>
  <c r="E28" i="2"/>
  <c r="C29" i="2"/>
  <c r="E29" i="2"/>
  <c r="E30" i="2"/>
  <c r="L30" i="2"/>
  <c r="L40" i="2" s="1"/>
  <c r="E31" i="2"/>
  <c r="E32" i="2"/>
  <c r="C33" i="2"/>
  <c r="E33" i="2"/>
  <c r="C34" i="2"/>
  <c r="C35" i="1" s="1"/>
  <c r="H35" i="1" s="1"/>
  <c r="I35" i="1" s="1"/>
  <c r="E34" i="2"/>
  <c r="E35" i="2"/>
  <c r="C36" i="2"/>
  <c r="E36" i="2"/>
  <c r="E37" i="2"/>
  <c r="F37" i="2"/>
  <c r="C37" i="2" s="1"/>
  <c r="C38" i="1" s="1"/>
  <c r="E38" i="2"/>
  <c r="C39" i="2"/>
  <c r="E39" i="2"/>
  <c r="D40" i="2"/>
  <c r="H40" i="2"/>
  <c r="J40" i="2"/>
  <c r="E41" i="2"/>
  <c r="E42" i="2"/>
  <c r="F42" i="2"/>
  <c r="C42" i="2" s="1"/>
  <c r="C44" i="1" s="1"/>
  <c r="C43" i="2"/>
  <c r="E43" i="2"/>
  <c r="E73" i="2" s="1"/>
  <c r="E44" i="2"/>
  <c r="F44" i="2"/>
  <c r="C44" i="2" s="1"/>
  <c r="C46" i="1" s="1"/>
  <c r="E45" i="2"/>
  <c r="F45" i="2"/>
  <c r="C45" i="2"/>
  <c r="C46" i="2"/>
  <c r="E46" i="2"/>
  <c r="E47" i="2"/>
  <c r="F47" i="2"/>
  <c r="C47" i="2" s="1"/>
  <c r="C49" i="1" s="1"/>
  <c r="C48" i="2"/>
  <c r="C50" i="1" s="1"/>
  <c r="E48" i="2"/>
  <c r="E49" i="2"/>
  <c r="F49" i="2"/>
  <c r="C49" i="2" s="1"/>
  <c r="C51" i="1" s="1"/>
  <c r="E50" i="2"/>
  <c r="F50" i="2"/>
  <c r="C50" i="2" s="1"/>
  <c r="C52" i="1" s="1"/>
  <c r="E51" i="2"/>
  <c r="F51" i="2"/>
  <c r="C51" i="2"/>
  <c r="C52" i="2"/>
  <c r="E52" i="2"/>
  <c r="C53" i="2"/>
  <c r="E53" i="2"/>
  <c r="E54" i="2"/>
  <c r="F54" i="2"/>
  <c r="E55" i="2"/>
  <c r="F55" i="2"/>
  <c r="C55" i="2" s="1"/>
  <c r="C57" i="1" s="1"/>
  <c r="E56" i="2"/>
  <c r="F56" i="2"/>
  <c r="C56" i="2" s="1"/>
  <c r="C58" i="1" s="1"/>
  <c r="C57" i="2"/>
  <c r="C59" i="1" s="1"/>
  <c r="E57" i="2"/>
  <c r="F57" i="2"/>
  <c r="E58" i="2"/>
  <c r="F58" i="2"/>
  <c r="C58" i="2"/>
  <c r="C60" i="1" s="1"/>
  <c r="E59" i="2"/>
  <c r="F59" i="2"/>
  <c r="C59" i="2"/>
  <c r="C60" i="2"/>
  <c r="E60" i="2"/>
  <c r="E61" i="2"/>
  <c r="E62" i="2"/>
  <c r="C63" i="2"/>
  <c r="E63" i="2"/>
  <c r="C64" i="2"/>
  <c r="E64" i="2"/>
  <c r="E65" i="2"/>
  <c r="F65" i="2"/>
  <c r="C65" i="2" s="1"/>
  <c r="C67" i="1" s="1"/>
  <c r="H67" i="1" s="1"/>
  <c r="I67" i="1" s="1"/>
  <c r="E66" i="2"/>
  <c r="C67" i="2"/>
  <c r="E67" i="2"/>
  <c r="E68" i="2"/>
  <c r="F68" i="2"/>
  <c r="C68" i="2" s="1"/>
  <c r="C70" i="1" s="1"/>
  <c r="H70" i="1" s="1"/>
  <c r="I70" i="1" s="1"/>
  <c r="C69" i="2"/>
  <c r="E69" i="2"/>
  <c r="E70" i="2"/>
  <c r="F70" i="2"/>
  <c r="C70" i="2" s="1"/>
  <c r="C72" i="1" s="1"/>
  <c r="H72" i="1" s="1"/>
  <c r="I72" i="1" s="1"/>
  <c r="C71" i="2"/>
  <c r="E71" i="2"/>
  <c r="E72" i="2"/>
  <c r="F72" i="2"/>
  <c r="C72" i="2"/>
  <c r="D73" i="2"/>
  <c r="G74" i="2"/>
  <c r="C77" i="2"/>
  <c r="C80" i="2" s="1"/>
  <c r="E77" i="2"/>
  <c r="C78" i="2"/>
  <c r="E78" i="2"/>
  <c r="C79" i="2"/>
  <c r="D79" i="2"/>
  <c r="D80" i="2" s="1"/>
  <c r="E80" i="2"/>
  <c r="E83" i="2"/>
  <c r="C84" i="2"/>
  <c r="D84" i="2"/>
  <c r="D88" i="2"/>
  <c r="D85" i="2"/>
  <c r="E85" i="2"/>
  <c r="E88" i="2" s="1"/>
  <c r="C86" i="2"/>
  <c r="C91" i="1" s="1"/>
  <c r="D86" i="2"/>
  <c r="C87" i="2"/>
  <c r="E87" i="2"/>
  <c r="C3" i="1"/>
  <c r="D3" i="1"/>
  <c r="H3" i="1"/>
  <c r="I3" i="1" s="1"/>
  <c r="D4" i="1"/>
  <c r="D5" i="1" s="1"/>
  <c r="E5" i="1"/>
  <c r="F5" i="1"/>
  <c r="G5" i="1"/>
  <c r="D7" i="1"/>
  <c r="D8" i="1"/>
  <c r="H8" i="1" s="1"/>
  <c r="I8" i="1" s="1"/>
  <c r="D9" i="1"/>
  <c r="D10" i="1"/>
  <c r="D11" i="1"/>
  <c r="D12" i="1"/>
  <c r="C13" i="1"/>
  <c r="D13" i="1"/>
  <c r="C14" i="1"/>
  <c r="E15" i="1"/>
  <c r="E16" i="1" s="1"/>
  <c r="F15" i="1"/>
  <c r="F16" i="1"/>
  <c r="F78" i="1" s="1"/>
  <c r="F85" i="1" s="1"/>
  <c r="F96" i="1" s="1"/>
  <c r="G15" i="1"/>
  <c r="G16" i="1"/>
  <c r="A19" i="1"/>
  <c r="D19" i="1"/>
  <c r="D27" i="1" s="1"/>
  <c r="A20" i="1"/>
  <c r="D20" i="1"/>
  <c r="A21" i="1"/>
  <c r="D21" i="1"/>
  <c r="A22" i="1"/>
  <c r="D22" i="1"/>
  <c r="A23" i="1"/>
  <c r="D23" i="1"/>
  <c r="A24" i="1"/>
  <c r="D24" i="1"/>
  <c r="H24" i="1" s="1"/>
  <c r="I24" i="1" s="1"/>
  <c r="A25" i="1"/>
  <c r="D25" i="1"/>
  <c r="A26" i="1"/>
  <c r="D26" i="1"/>
  <c r="H26" i="1" s="1"/>
  <c r="I26" i="1" s="1"/>
  <c r="E27" i="1"/>
  <c r="E76" i="1" s="1"/>
  <c r="F27" i="1"/>
  <c r="G27" i="1"/>
  <c r="G76" i="1" s="1"/>
  <c r="A29" i="1"/>
  <c r="C29" i="1"/>
  <c r="D29" i="1"/>
  <c r="A30" i="1"/>
  <c r="C30" i="1"/>
  <c r="D30" i="1"/>
  <c r="A31" i="1"/>
  <c r="D31" i="1"/>
  <c r="A32" i="1"/>
  <c r="D32" i="1"/>
  <c r="A33" i="1"/>
  <c r="D33" i="1"/>
  <c r="A34" i="1"/>
  <c r="C34" i="1"/>
  <c r="H34" i="1" s="1"/>
  <c r="I34" i="1" s="1"/>
  <c r="D34" i="1"/>
  <c r="A35" i="1"/>
  <c r="D35" i="1"/>
  <c r="A36" i="1"/>
  <c r="D36" i="1"/>
  <c r="A37" i="1"/>
  <c r="C37" i="1"/>
  <c r="D37" i="1"/>
  <c r="H37" i="1"/>
  <c r="I37" i="1" s="1"/>
  <c r="A38" i="1"/>
  <c r="D38" i="1"/>
  <c r="A39" i="1"/>
  <c r="D39" i="1"/>
  <c r="A40" i="1"/>
  <c r="C40" i="1"/>
  <c r="H40" i="1" s="1"/>
  <c r="I40" i="1" s="1"/>
  <c r="D40" i="1"/>
  <c r="E41" i="1"/>
  <c r="F41" i="1"/>
  <c r="F76" i="1"/>
  <c r="G41" i="1"/>
  <c r="D43" i="1"/>
  <c r="D44" i="1"/>
  <c r="H44" i="1" s="1"/>
  <c r="I44" i="1" s="1"/>
  <c r="C45" i="1"/>
  <c r="D45" i="1"/>
  <c r="H45" i="1" s="1"/>
  <c r="I45" i="1" s="1"/>
  <c r="D46" i="1"/>
  <c r="C47" i="1"/>
  <c r="D47" i="1"/>
  <c r="C48" i="1"/>
  <c r="D48" i="1"/>
  <c r="H48" i="1" s="1"/>
  <c r="I48" i="1" s="1"/>
  <c r="D49" i="1"/>
  <c r="H49" i="1" s="1"/>
  <c r="I49" i="1" s="1"/>
  <c r="D50" i="1"/>
  <c r="D51" i="1"/>
  <c r="D52" i="1"/>
  <c r="H52" i="1" s="1"/>
  <c r="I52" i="1" s="1"/>
  <c r="C53" i="1"/>
  <c r="D53" i="1"/>
  <c r="H53" i="1" s="1"/>
  <c r="I53" i="1" s="1"/>
  <c r="C54" i="1"/>
  <c r="D54" i="1"/>
  <c r="C55" i="1"/>
  <c r="D55" i="1"/>
  <c r="D56" i="1"/>
  <c r="D57" i="1"/>
  <c r="D58" i="1"/>
  <c r="D59" i="1"/>
  <c r="D60" i="1"/>
  <c r="C61" i="1"/>
  <c r="D61" i="1"/>
  <c r="H61" i="1"/>
  <c r="I61" i="1" s="1"/>
  <c r="C62" i="1"/>
  <c r="D62" i="1"/>
  <c r="D63" i="1"/>
  <c r="D64" i="1"/>
  <c r="C65" i="1"/>
  <c r="D65" i="1"/>
  <c r="H65" i="1"/>
  <c r="I65" i="1" s="1"/>
  <c r="C66" i="1"/>
  <c r="D66" i="1"/>
  <c r="D67" i="1"/>
  <c r="D68" i="1"/>
  <c r="C69" i="1"/>
  <c r="D69" i="1"/>
  <c r="H69" i="1" s="1"/>
  <c r="I69" i="1" s="1"/>
  <c r="D70" i="1"/>
  <c r="C71" i="1"/>
  <c r="D71" i="1"/>
  <c r="H71" i="1"/>
  <c r="I71" i="1" s="1"/>
  <c r="D72" i="1"/>
  <c r="C73" i="1"/>
  <c r="D73" i="1"/>
  <c r="H73" i="1"/>
  <c r="I73" i="1" s="1"/>
  <c r="C74" i="1"/>
  <c r="D74" i="1"/>
  <c r="H74" i="1"/>
  <c r="I74" i="1" s="1"/>
  <c r="E75" i="1"/>
  <c r="F75" i="1"/>
  <c r="G75" i="1"/>
  <c r="I81" i="1"/>
  <c r="C82" i="1"/>
  <c r="I82" i="1" s="1"/>
  <c r="D83" i="1"/>
  <c r="E83" i="1"/>
  <c r="F83" i="1"/>
  <c r="G83" i="1"/>
  <c r="C92" i="1"/>
  <c r="D95" i="1"/>
  <c r="E95" i="1"/>
  <c r="F95" i="1"/>
  <c r="G95" i="1"/>
  <c r="B6" i="3"/>
  <c r="M3" i="8"/>
  <c r="M4" i="8"/>
  <c r="M5" i="8"/>
  <c r="M6" i="8"/>
  <c r="J66" i="2"/>
  <c r="M7" i="8"/>
  <c r="H8" i="8"/>
  <c r="M8" i="8"/>
  <c r="M9" i="8"/>
  <c r="M10" i="8"/>
  <c r="M11" i="8"/>
  <c r="M12" i="8"/>
  <c r="M13" i="8"/>
  <c r="M14" i="8"/>
  <c r="M15" i="8"/>
  <c r="M16" i="8"/>
  <c r="B17" i="8"/>
  <c r="C17" i="8"/>
  <c r="D17" i="8"/>
  <c r="E17" i="8"/>
  <c r="F17" i="8"/>
  <c r="G17" i="8"/>
  <c r="H17" i="8"/>
  <c r="I17" i="8"/>
  <c r="J17" i="8"/>
  <c r="K17" i="8"/>
  <c r="L17" i="8"/>
  <c r="B3" i="5"/>
  <c r="C3" i="5"/>
  <c r="D3" i="5"/>
  <c r="E3" i="5"/>
  <c r="F3" i="5"/>
  <c r="B4" i="5"/>
  <c r="B10" i="5"/>
  <c r="C4" i="5"/>
  <c r="D4" i="5"/>
  <c r="E4" i="5"/>
  <c r="F4" i="5"/>
  <c r="F9" i="5" s="1"/>
  <c r="F10" i="5" s="1"/>
  <c r="N4" i="5"/>
  <c r="M4" i="5" s="1"/>
  <c r="B5" i="5"/>
  <c r="B9" i="5" s="1"/>
  <c r="C5" i="5"/>
  <c r="D5" i="5"/>
  <c r="E5" i="5"/>
  <c r="N5" i="5"/>
  <c r="M5" i="5" s="1"/>
  <c r="B6" i="5"/>
  <c r="C6" i="5"/>
  <c r="D6" i="5"/>
  <c r="E6" i="5"/>
  <c r="N6" i="5"/>
  <c r="M6" i="5" s="1"/>
  <c r="F7" i="5"/>
  <c r="M7" i="5"/>
  <c r="N7" i="5"/>
  <c r="B8" i="5"/>
  <c r="C8" i="5"/>
  <c r="D8" i="5"/>
  <c r="E8" i="5"/>
  <c r="F8" i="5"/>
  <c r="N8" i="5"/>
  <c r="E9" i="5"/>
  <c r="E10" i="5" s="1"/>
  <c r="N11" i="5"/>
  <c r="M11" i="5" s="1"/>
  <c r="N12" i="5"/>
  <c r="M12" i="5" s="1"/>
  <c r="N13" i="5"/>
  <c r="M13" i="5" s="1"/>
  <c r="N14" i="5"/>
  <c r="M14" i="5" s="1"/>
  <c r="B15" i="5"/>
  <c r="C15" i="5"/>
  <c r="D15" i="5"/>
  <c r="E15" i="5"/>
  <c r="B16" i="5"/>
  <c r="C16" i="5"/>
  <c r="D16" i="5"/>
  <c r="E16" i="5"/>
  <c r="B17" i="5"/>
  <c r="C17" i="5"/>
  <c r="D17" i="5"/>
  <c r="E17" i="5"/>
  <c r="N17" i="5"/>
  <c r="M17" i="5" s="1"/>
  <c r="B18" i="5"/>
  <c r="C18" i="5"/>
  <c r="D18" i="5"/>
  <c r="E18" i="5"/>
  <c r="B19" i="5"/>
  <c r="C19" i="5"/>
  <c r="D19" i="5"/>
  <c r="E19" i="5"/>
  <c r="B20" i="5"/>
  <c r="C20" i="5"/>
  <c r="D20" i="5"/>
  <c r="E20" i="5"/>
  <c r="N20" i="5"/>
  <c r="M20" i="5" s="1"/>
  <c r="C21" i="5"/>
  <c r="C22" i="5" s="1"/>
  <c r="N21" i="5"/>
  <c r="M21" i="5" s="1"/>
  <c r="N22" i="5"/>
  <c r="N23" i="5"/>
  <c r="N26" i="5"/>
  <c r="B27" i="5"/>
  <c r="B28" i="5"/>
  <c r="B29" i="5"/>
  <c r="N29" i="5"/>
  <c r="B30" i="5"/>
  <c r="N30" i="5"/>
  <c r="B31" i="5"/>
  <c r="B38" i="5"/>
  <c r="B43" i="5" s="1"/>
  <c r="C38" i="5"/>
  <c r="D38" i="5"/>
  <c r="E38" i="5"/>
  <c r="B39" i="5"/>
  <c r="C39" i="5"/>
  <c r="D39" i="5"/>
  <c r="E39" i="5"/>
  <c r="B40" i="5"/>
  <c r="C40" i="5"/>
  <c r="D40" i="5"/>
  <c r="E40" i="5"/>
  <c r="D41" i="5"/>
  <c r="D43" i="5" s="1"/>
  <c r="D44" i="5" s="1"/>
  <c r="E41" i="5"/>
  <c r="B42" i="5"/>
  <c r="C42" i="5"/>
  <c r="C43" i="5" s="1"/>
  <c r="C44" i="5" s="1"/>
  <c r="D42" i="5"/>
  <c r="E42" i="5"/>
  <c r="B49" i="5"/>
  <c r="B50" i="5"/>
  <c r="B51" i="5"/>
  <c r="B52" i="5"/>
  <c r="B59" i="5"/>
  <c r="C59" i="5"/>
  <c r="B60" i="5"/>
  <c r="C60" i="5"/>
  <c r="B61" i="5"/>
  <c r="C61" i="5"/>
  <c r="B62" i="5"/>
  <c r="C62" i="5"/>
  <c r="B29" i="4"/>
  <c r="B12" i="7" s="1"/>
  <c r="B33" i="4"/>
  <c r="B57" i="4"/>
  <c r="B58" i="4"/>
  <c r="C37" i="7"/>
  <c r="H37" i="7"/>
  <c r="D4" i="7"/>
  <c r="E4" i="7"/>
  <c r="F4" i="7"/>
  <c r="G4" i="7"/>
  <c r="D5" i="7"/>
  <c r="D39" i="7" s="1"/>
  <c r="E5" i="7"/>
  <c r="F5" i="7"/>
  <c r="G5" i="7"/>
  <c r="G39" i="7" s="1"/>
  <c r="D6" i="7"/>
  <c r="D7" i="7"/>
  <c r="E7" i="7"/>
  <c r="B8" i="7"/>
  <c r="H8" i="7"/>
  <c r="E9" i="7"/>
  <c r="F9" i="7"/>
  <c r="K10" i="7"/>
  <c r="G9" i="7"/>
  <c r="D10" i="7"/>
  <c r="E10" i="7"/>
  <c r="F10" i="7"/>
  <c r="G10" i="7"/>
  <c r="K11" i="7"/>
  <c r="E12" i="7"/>
  <c r="F12" i="7"/>
  <c r="G12" i="7"/>
  <c r="K13" i="7"/>
  <c r="D18" i="7"/>
  <c r="D19" i="7"/>
  <c r="D38" i="7" s="1"/>
  <c r="D40" i="7" s="1"/>
  <c r="F19" i="7"/>
  <c r="F38" i="7" s="1"/>
  <c r="F40" i="7" s="1"/>
  <c r="G19" i="7"/>
  <c r="B20" i="7"/>
  <c r="C20" i="7"/>
  <c r="H20" i="7"/>
  <c r="B21" i="7"/>
  <c r="C21" i="7"/>
  <c r="H21" i="7"/>
  <c r="B22" i="7"/>
  <c r="H22" i="7" s="1"/>
  <c r="C22" i="7"/>
  <c r="B23" i="7"/>
  <c r="C23" i="7"/>
  <c r="E23" i="7"/>
  <c r="F23" i="7"/>
  <c r="G23" i="7"/>
  <c r="D24" i="7"/>
  <c r="E24" i="7"/>
  <c r="G24" i="7"/>
  <c r="D25" i="7"/>
  <c r="E25" i="7"/>
  <c r="G25" i="7"/>
  <c r="D26" i="7"/>
  <c r="E26" i="7"/>
  <c r="F26" i="7"/>
  <c r="G26" i="7"/>
  <c r="D27" i="7"/>
  <c r="E27" i="7"/>
  <c r="F27" i="7"/>
  <c r="G27" i="7"/>
  <c r="B28" i="7"/>
  <c r="C28" i="7"/>
  <c r="D28" i="7"/>
  <c r="E28" i="7"/>
  <c r="F28" i="7"/>
  <c r="B29" i="7"/>
  <c r="C29" i="7"/>
  <c r="H29" i="7" s="1"/>
  <c r="D29" i="7"/>
  <c r="E29" i="7"/>
  <c r="F29" i="7"/>
  <c r="B32" i="7"/>
  <c r="H32" i="7" s="1"/>
  <c r="C32" i="7"/>
  <c r="E32" i="7"/>
  <c r="B33" i="7"/>
  <c r="C33" i="7"/>
  <c r="E33" i="7"/>
  <c r="F34" i="7"/>
  <c r="H34" i="7" s="1"/>
  <c r="K34" i="7"/>
  <c r="F35" i="7"/>
  <c r="H35" i="7"/>
  <c r="D36" i="7"/>
  <c r="E36" i="7"/>
  <c r="F36" i="7"/>
  <c r="G36" i="7"/>
  <c r="B37" i="7"/>
  <c r="E37" i="7"/>
  <c r="F37" i="7"/>
  <c r="E39" i="7"/>
  <c r="F39" i="7"/>
  <c r="G7" i="9"/>
  <c r="D16" i="9"/>
  <c r="E16" i="9"/>
  <c r="L7" i="2" s="1"/>
  <c r="L15" i="2" s="1"/>
  <c r="L16" i="2"/>
  <c r="F16" i="9"/>
  <c r="L66" i="2" s="1"/>
  <c r="G16" i="9"/>
  <c r="H16" i="9"/>
  <c r="B3" i="6"/>
  <c r="B6" i="6"/>
  <c r="B10" i="6"/>
  <c r="B12" i="6"/>
  <c r="F7" i="2" s="1"/>
  <c r="B14" i="6"/>
  <c r="B32" i="6"/>
  <c r="C32" i="6"/>
  <c r="D32" i="6"/>
  <c r="E32" i="6"/>
  <c r="F32" i="6"/>
  <c r="B41" i="6"/>
  <c r="F23" i="2" s="1"/>
  <c r="C23" i="2"/>
  <c r="C23" i="1" s="1"/>
  <c r="B42" i="6"/>
  <c r="F22" i="2" s="1"/>
  <c r="B45" i="6"/>
  <c r="F25" i="2"/>
  <c r="C25" i="2"/>
  <c r="C25" i="1" s="1"/>
  <c r="H25" i="1" s="1"/>
  <c r="I25" i="1"/>
  <c r="B55" i="6"/>
  <c r="F31" i="2" s="1"/>
  <c r="C31" i="2" s="1"/>
  <c r="C32" i="1"/>
  <c r="B57" i="6"/>
  <c r="F32" i="2" s="1"/>
  <c r="C32" i="2" s="1"/>
  <c r="C33" i="1"/>
  <c r="H33" i="1" s="1"/>
  <c r="I33" i="1" s="1"/>
  <c r="B62" i="6"/>
  <c r="F41" i="2"/>
  <c r="C41" i="2"/>
  <c r="C43" i="1" s="1"/>
  <c r="B68" i="6"/>
  <c r="B71" i="6"/>
  <c r="B72" i="6"/>
  <c r="G76" i="6"/>
  <c r="G77" i="6"/>
  <c r="G78" i="6"/>
  <c r="G79" i="6"/>
  <c r="G82" i="6" s="1"/>
  <c r="G80" i="6"/>
  <c r="E81" i="6"/>
  <c r="G81" i="6"/>
  <c r="F30" i="2"/>
  <c r="C30" i="2" s="1"/>
  <c r="B82" i="6"/>
  <c r="C82" i="6"/>
  <c r="D82" i="6"/>
  <c r="F62" i="2" s="1"/>
  <c r="C62" i="2" s="1"/>
  <c r="F82" i="6"/>
  <c r="G85" i="6"/>
  <c r="G87" i="6" s="1"/>
  <c r="B97" i="6" s="1"/>
  <c r="B87" i="6"/>
  <c r="C87" i="6"/>
  <c r="D87" i="6"/>
  <c r="E87" i="6"/>
  <c r="F87" i="6"/>
  <c r="B96" i="6"/>
  <c r="C7" i="2"/>
  <c r="B32" i="5"/>
  <c r="B33" i="5"/>
  <c r="D11" i="7" s="1"/>
  <c r="B56" i="6"/>
  <c r="B25" i="7"/>
  <c r="B10" i="7"/>
  <c r="B4" i="7"/>
  <c r="B19" i="7" s="1"/>
  <c r="B53" i="5"/>
  <c r="B54" i="5" s="1"/>
  <c r="F11" i="7" s="1"/>
  <c r="F13" i="7" s="1"/>
  <c r="F41" i="7" s="1"/>
  <c r="E43" i="5"/>
  <c r="E44" i="5"/>
  <c r="D75" i="1"/>
  <c r="H51" i="1"/>
  <c r="I51" i="1" s="1"/>
  <c r="D41" i="1"/>
  <c r="H29" i="1"/>
  <c r="I29" i="1"/>
  <c r="B44" i="5"/>
  <c r="M17" i="8"/>
  <c r="C64" i="1"/>
  <c r="H64" i="1" s="1"/>
  <c r="I64" i="1" s="1"/>
  <c r="B36" i="7"/>
  <c r="K31" i="7"/>
  <c r="E19" i="7"/>
  <c r="E38" i="7"/>
  <c r="E40" i="7" s="1"/>
  <c r="B21" i="5"/>
  <c r="B22" i="5"/>
  <c r="D9" i="5"/>
  <c r="D10" i="5"/>
  <c r="H60" i="1"/>
  <c r="I60" i="1" s="1"/>
  <c r="H30" i="1"/>
  <c r="I30" i="1"/>
  <c r="H28" i="7"/>
  <c r="E82" i="6"/>
  <c r="B52" i="6"/>
  <c r="B94" i="6" s="1"/>
  <c r="B24" i="7"/>
  <c r="B27" i="7"/>
  <c r="B6" i="7"/>
  <c r="B7" i="7"/>
  <c r="B26" i="7"/>
  <c r="E21" i="5"/>
  <c r="E22" i="5"/>
  <c r="J61" i="2"/>
  <c r="J73" i="2" s="1"/>
  <c r="J74" i="2" s="1"/>
  <c r="J75" i="2"/>
  <c r="H59" i="1"/>
  <c r="I59" i="1" s="1"/>
  <c r="H55" i="1"/>
  <c r="I55" i="1"/>
  <c r="H47" i="1"/>
  <c r="I47" i="1" s="1"/>
  <c r="H23" i="1"/>
  <c r="I23" i="1"/>
  <c r="H13" i="1"/>
  <c r="I13" i="1" s="1"/>
  <c r="F27" i="2"/>
  <c r="H57" i="1"/>
  <c r="I57" i="1" s="1"/>
  <c r="H11" i="1"/>
  <c r="I11" i="1"/>
  <c r="G75" i="2"/>
  <c r="E15" i="2"/>
  <c r="E16" i="2"/>
  <c r="H66" i="1"/>
  <c r="I66" i="1" s="1"/>
  <c r="H62" i="1"/>
  <c r="I62" i="1"/>
  <c r="H58" i="1"/>
  <c r="I58" i="1" s="1"/>
  <c r="H54" i="1"/>
  <c r="I54" i="1"/>
  <c r="H50" i="1"/>
  <c r="I50" i="1" s="1"/>
  <c r="H46" i="1"/>
  <c r="I46" i="1"/>
  <c r="H38" i="1"/>
  <c r="I38" i="1" s="1"/>
  <c r="H12" i="1"/>
  <c r="I12" i="1" s="1"/>
  <c r="E40" i="2"/>
  <c r="E74" i="2"/>
  <c r="C31" i="1"/>
  <c r="C7" i="1"/>
  <c r="H7" i="1"/>
  <c r="E11" i="7" l="1"/>
  <c r="E13" i="7" s="1"/>
  <c r="E41" i="7" s="1"/>
  <c r="F38" i="2"/>
  <c r="C38" i="2" s="1"/>
  <c r="C39" i="1" s="1"/>
  <c r="H39" i="1" s="1"/>
  <c r="I39" i="1" s="1"/>
  <c r="B73" i="6"/>
  <c r="B95" i="6" s="1"/>
  <c r="B58" i="6"/>
  <c r="F35" i="2" s="1"/>
  <c r="D76" i="1"/>
  <c r="D15" i="1"/>
  <c r="D16" i="1" s="1"/>
  <c r="D78" i="1" s="1"/>
  <c r="D85" i="1" s="1"/>
  <c r="H14" i="1"/>
  <c r="I14" i="1" s="1"/>
  <c r="I7" i="1"/>
  <c r="C11" i="7"/>
  <c r="H43" i="1"/>
  <c r="I43" i="1" s="1"/>
  <c r="H12" i="7"/>
  <c r="H9" i="2" s="1"/>
  <c r="H15" i="2" s="1"/>
  <c r="C7" i="7"/>
  <c r="H7" i="7" s="1"/>
  <c r="K7" i="7" s="1"/>
  <c r="C10" i="7"/>
  <c r="H10" i="7" s="1"/>
  <c r="C27" i="7"/>
  <c r="H27" i="7" s="1"/>
  <c r="C31" i="7"/>
  <c r="H31" i="7" s="1"/>
  <c r="C4" i="7"/>
  <c r="C36" i="7"/>
  <c r="H36" i="7" s="1"/>
  <c r="H22" i="2" s="1"/>
  <c r="C22" i="2" s="1"/>
  <c r="C22" i="1" s="1"/>
  <c r="H22" i="1" s="1"/>
  <c r="I22" i="1" s="1"/>
  <c r="C5" i="7"/>
  <c r="C39" i="7" s="1"/>
  <c r="C9" i="7"/>
  <c r="C18" i="7"/>
  <c r="C30" i="7"/>
  <c r="H30" i="7" s="1"/>
  <c r="J30" i="7" s="1"/>
  <c r="C6" i="7"/>
  <c r="H6" i="7" s="1"/>
  <c r="C12" i="7"/>
  <c r="B98" i="4"/>
  <c r="B11" i="7"/>
  <c r="E75" i="2"/>
  <c r="E81" i="2" s="1"/>
  <c r="E89" i="2" s="1"/>
  <c r="K12" i="7"/>
  <c r="D13" i="7"/>
  <c r="D41" i="7" s="1"/>
  <c r="C63" i="5"/>
  <c r="C64" i="5" s="1"/>
  <c r="H31" i="1"/>
  <c r="I31" i="1" s="1"/>
  <c r="F61" i="2"/>
  <c r="G32" i="6"/>
  <c r="B93" i="6" s="1"/>
  <c r="L73" i="2"/>
  <c r="L74" i="2" s="1"/>
  <c r="L75" i="2" s="1"/>
  <c r="C66" i="2"/>
  <c r="C68" i="1" s="1"/>
  <c r="H68" i="1" s="1"/>
  <c r="I68" i="1" s="1"/>
  <c r="C26" i="7"/>
  <c r="H26" i="7" s="1"/>
  <c r="C25" i="7"/>
  <c r="H25" i="7" s="1"/>
  <c r="C24" i="7"/>
  <c r="H24" i="7" s="1"/>
  <c r="G38" i="7"/>
  <c r="G40" i="7" s="1"/>
  <c r="H23" i="7"/>
  <c r="H20" i="2" s="1"/>
  <c r="C20" i="2" s="1"/>
  <c r="C20" i="1" s="1"/>
  <c r="H20" i="1" s="1"/>
  <c r="I20" i="1" s="1"/>
  <c r="B63" i="5"/>
  <c r="B64" i="5" s="1"/>
  <c r="G11" i="7" s="1"/>
  <c r="G13" i="7" s="1"/>
  <c r="C9" i="5"/>
  <c r="C10" i="5" s="1"/>
  <c r="H32" i="1"/>
  <c r="I32" i="1" s="1"/>
  <c r="H33" i="7"/>
  <c r="K35" i="7"/>
  <c r="G78" i="1"/>
  <c r="G85" i="1" s="1"/>
  <c r="G96" i="1" s="1"/>
  <c r="E78" i="1"/>
  <c r="E85" i="1" s="1"/>
  <c r="E96" i="1" s="1"/>
  <c r="K32" i="7"/>
  <c r="B5" i="7"/>
  <c r="B18" i="7"/>
  <c r="D21" i="5"/>
  <c r="D22" i="5" s="1"/>
  <c r="C80" i="1"/>
  <c r="I80" i="1" l="1"/>
  <c r="C83" i="1"/>
  <c r="H83" i="1" s="1"/>
  <c r="I83" i="1" s="1"/>
  <c r="H11" i="7"/>
  <c r="H18" i="7"/>
  <c r="B38" i="7"/>
  <c r="K24" i="7"/>
  <c r="H61" i="2"/>
  <c r="C61" i="2" s="1"/>
  <c r="C63" i="1" s="1"/>
  <c r="H63" i="1" s="1"/>
  <c r="I63" i="1" s="1"/>
  <c r="B96" i="4"/>
  <c r="B97" i="4" s="1"/>
  <c r="B4" i="6" s="1"/>
  <c r="B99" i="4"/>
  <c r="C19" i="7"/>
  <c r="H19" i="7" s="1"/>
  <c r="B5" i="6" s="1"/>
  <c r="F5" i="2" s="1"/>
  <c r="C13" i="7"/>
  <c r="H4" i="7"/>
  <c r="F73" i="2"/>
  <c r="D96" i="1"/>
  <c r="B13" i="7"/>
  <c r="H5" i="7"/>
  <c r="B39" i="7"/>
  <c r="H39" i="7" s="1"/>
  <c r="G41" i="7"/>
  <c r="H54" i="2"/>
  <c r="B98" i="6"/>
  <c r="K9" i="7"/>
  <c r="H9" i="7"/>
  <c r="C35" i="2"/>
  <c r="F40" i="2"/>
  <c r="F74" i="2" s="1"/>
  <c r="F9" i="2" l="1"/>
  <c r="B15" i="6"/>
  <c r="F6" i="2"/>
  <c r="C5" i="2"/>
  <c r="H73" i="2"/>
  <c r="C54" i="2"/>
  <c r="B41" i="7"/>
  <c r="C38" i="7"/>
  <c r="C40" i="7" s="1"/>
  <c r="C41" i="7" s="1"/>
  <c r="H38" i="7"/>
  <c r="H19" i="2"/>
  <c r="D93" i="6"/>
  <c r="H5" i="2"/>
  <c r="H6" i="2" s="1"/>
  <c r="H16" i="2" s="1"/>
  <c r="B10" i="3"/>
  <c r="C36" i="1"/>
  <c r="C40" i="2"/>
  <c r="H13" i="7"/>
  <c r="B40" i="7"/>
  <c r="C6" i="2" l="1"/>
  <c r="C4" i="1"/>
  <c r="H27" i="2"/>
  <c r="H74" i="2" s="1"/>
  <c r="C19" i="2"/>
  <c r="H40" i="7"/>
  <c r="C83" i="2"/>
  <c r="B15" i="3"/>
  <c r="Q66" i="2"/>
  <c r="C56" i="1"/>
  <c r="C73" i="2"/>
  <c r="H36" i="1"/>
  <c r="I36" i="1" s="1"/>
  <c r="C41" i="1"/>
  <c r="H41" i="1" s="1"/>
  <c r="I41" i="1" s="1"/>
  <c r="B12" i="3"/>
  <c r="C85" i="2" s="1"/>
  <c r="C90" i="1" s="1"/>
  <c r="H41" i="7"/>
  <c r="H75" i="2"/>
  <c r="C9" i="2"/>
  <c r="F15" i="2"/>
  <c r="F16" i="2" s="1"/>
  <c r="F75" i="2" s="1"/>
  <c r="C27" i="2" l="1"/>
  <c r="C74" i="2" s="1"/>
  <c r="C19" i="1"/>
  <c r="C88" i="2"/>
  <c r="C89" i="1"/>
  <c r="C95" i="1" s="1"/>
  <c r="C5" i="1"/>
  <c r="H4" i="1"/>
  <c r="C15" i="2"/>
  <c r="C9" i="1"/>
  <c r="H56" i="1"/>
  <c r="I56" i="1" s="1"/>
  <c r="C75" i="1"/>
  <c r="H75" i="1" s="1"/>
  <c r="I75" i="1" s="1"/>
  <c r="C16" i="2"/>
  <c r="C75" i="2" s="1"/>
  <c r="C81" i="2" s="1"/>
  <c r="C89" i="2" s="1"/>
  <c r="I4" i="1" l="1"/>
  <c r="H5" i="1"/>
  <c r="I5" i="1" s="1"/>
  <c r="H19" i="1"/>
  <c r="I19" i="1" s="1"/>
  <c r="C27" i="1"/>
  <c r="H9" i="1"/>
  <c r="C15" i="1"/>
  <c r="C16" i="1" s="1"/>
  <c r="C76" i="1" l="1"/>
  <c r="H27" i="1"/>
  <c r="C78" i="1"/>
  <c r="C85" i="1" s="1"/>
  <c r="I9" i="1"/>
  <c r="H15" i="1"/>
  <c r="I27" i="1" l="1"/>
  <c r="I76" i="1" s="1"/>
  <c r="H76" i="1"/>
  <c r="C96" i="1"/>
  <c r="H85" i="1"/>
  <c r="I85" i="1" s="1"/>
  <c r="H16" i="1"/>
  <c r="I15" i="1"/>
  <c r="H78" i="1" l="1"/>
  <c r="I78" i="1" s="1"/>
  <c r="I16" i="1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Håvard Tangvik:
Denne konto brukes ikke</t>
        </r>
      </text>
    </comment>
    <comment ref="B5" authorId="0">
      <text>
        <r>
          <rPr>
            <sz val="10"/>
            <rFont val="Arial"/>
            <family val="2"/>
          </rPr>
          <t>Håvard Tangvik:
Her føres: 
- Inntekter fra fylkeslag (avgifter, LM, HM)</t>
        </r>
      </text>
    </comment>
    <comment ref="B7" authorId="0">
      <text>
        <r>
          <rPr>
            <sz val="10"/>
            <rFont val="Arial"/>
            <family val="2"/>
          </rPr>
          <t>Håvard Tangvik:
- Inntekter fra Paypal (Nettbutikk)
- Prosjektstøtte (FK)
- SNS</t>
        </r>
      </text>
    </comment>
    <comment ref="D7" authorId="0">
      <text>
        <r>
          <rPr>
            <sz val="10"/>
            <rFont val="Arial"/>
            <family val="2"/>
          </rPr>
          <t>Bør denne reduseres?</t>
        </r>
      </text>
    </comment>
    <comment ref="B8" authorId="0">
      <text>
        <r>
          <rPr>
            <sz val="10"/>
            <rFont val="Arial"/>
            <family val="2"/>
          </rPr>
          <t>Håvard Tangvik:
- Momskompensasjon</t>
        </r>
      </text>
    </comment>
    <comment ref="B9" authorId="0">
      <text>
        <r>
          <rPr>
            <sz val="10"/>
            <rFont val="Arial"/>
            <family val="2"/>
          </rPr>
          <t>Håvard Tangvik:
- BUFDIR Nasjonal Grunnstøtte
- BUFDIR Internasjonal Grunnstøtte</t>
        </r>
      </text>
    </comment>
    <comment ref="B10" authorId="0">
      <text>
        <r>
          <rPr>
            <sz val="10"/>
            <rFont val="Arial"/>
            <family val="2"/>
          </rPr>
          <t>Håvard Tangvik:
- LNU Midler
- Fredskorpset
- Midtøsten</t>
        </r>
      </text>
    </comment>
    <comment ref="B12" authorId="0">
      <text>
        <r>
          <rPr>
            <sz val="10"/>
            <rFont val="Arial"/>
            <family val="2"/>
          </rPr>
          <t>Håvard Tangvik:
- Frifondmidler</t>
        </r>
      </text>
    </comment>
    <comment ref="B14" authorId="0">
      <text>
        <r>
          <rPr>
            <sz val="10"/>
            <rFont val="Arial"/>
            <family val="2"/>
          </rPr>
          <t>Håvard Tangvik:
- Medlemskontingent fra enkeltpersoner og fylkeslag</t>
        </r>
      </text>
    </comment>
    <comment ref="D31" authorId="0">
      <text>
        <r>
          <rPr>
            <sz val="10"/>
            <rFont val="Arial"/>
            <family val="2"/>
          </rPr>
          <t>Bør økes?</t>
        </r>
      </text>
    </comment>
    <comment ref="L75" authorId="0">
      <text>
        <r>
          <rPr>
            <b/>
            <sz val="9"/>
            <color indexed="8"/>
            <rFont val="Tahoma"/>
            <family val="2"/>
            <charset val="1"/>
          </rPr>
          <t xml:space="preserve">CISV-DL:
</t>
        </r>
        <r>
          <rPr>
            <sz val="9"/>
            <color indexed="8"/>
            <rFont val="Tahoma"/>
            <family val="2"/>
            <charset val="1"/>
          </rPr>
          <t>270.000 av dette dekker deler av lønnen til prosjektkoordinator/informasjonskonsulent. Resterende 250.000</t>
        </r>
      </text>
    </comment>
    <comment ref="C81" authorId="0">
      <text>
        <r>
          <rPr>
            <sz val="10"/>
            <rFont val="Arial"/>
            <family val="2"/>
          </rPr>
          <t>Driften. Positiv eller negativ?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2"/>
          </rPr>
          <t>Red. Overføring fra prosjektfane</t>
        </r>
      </text>
    </comment>
    <comment ref="B21" authorId="0">
      <text>
        <r>
          <rPr>
            <sz val="10"/>
            <rFont val="Arial"/>
            <family val="2"/>
          </rPr>
          <t>Håvard Tangvik:
Sentralstyret
Alle komiteledere</t>
        </r>
      </text>
    </comment>
    <comment ref="E2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CISV-DL:
</t>
        </r>
        <r>
          <rPr>
            <sz val="9"/>
            <color indexed="8"/>
            <rFont val="Tahoma"/>
            <family val="2"/>
            <charset val="1"/>
          </rPr>
          <t>Leie lokaler</t>
        </r>
      </text>
    </comment>
    <comment ref="A23" authorId="0">
      <text>
        <r>
          <rPr>
            <sz val="10"/>
            <rFont val="Arial"/>
            <family val="2"/>
          </rPr>
          <t>Håvard Tangvik:
Leir KickOff
RSM</t>
        </r>
      </text>
    </comment>
    <comment ref="F24" authorId="0">
      <text>
        <r>
          <rPr>
            <sz val="10"/>
            <rFont val="Arial"/>
            <family val="2"/>
          </rPr>
          <t>Overføring HM 2015 til GlobCon</t>
        </r>
      </text>
    </comment>
    <comment ref="E25" authorId="0">
      <text>
        <r>
          <rPr>
            <b/>
            <sz val="9"/>
            <color indexed="8"/>
            <rFont val="Tahoma"/>
            <family val="2"/>
            <charset val="1"/>
          </rPr>
          <t xml:space="preserve">CISV-DL:
</t>
        </r>
        <r>
          <rPr>
            <sz val="9"/>
            <color indexed="8"/>
            <rFont val="Tahoma"/>
            <family val="2"/>
            <charset val="1"/>
          </rPr>
          <t>Leie lokaler</t>
        </r>
      </text>
    </comment>
    <comment ref="B38" authorId="0">
      <text>
        <r>
          <rPr>
            <sz val="10"/>
            <rFont val="Arial"/>
            <family val="2"/>
          </rPr>
          <t>Red. Ny server</t>
        </r>
      </text>
    </comment>
    <comment ref="B51" authorId="0">
      <text>
        <r>
          <rPr>
            <b/>
            <sz val="9"/>
            <color indexed="8"/>
            <rFont val="Tahoma"/>
            <family val="2"/>
            <charset val="1"/>
          </rPr>
          <t xml:space="preserve">CISV-DL:
</t>
        </r>
        <r>
          <rPr>
            <sz val="9"/>
            <color indexed="8"/>
            <rFont val="Tahoma"/>
            <family val="2"/>
            <charset val="1"/>
          </rPr>
          <t xml:space="preserve">Gjelder leie lokaler STAS, LTS, SUDT, NJC, NEO. </t>
        </r>
      </text>
    </comment>
    <comment ref="B56" authorId="0">
      <text>
        <r>
          <rPr>
            <sz val="10"/>
            <rFont val="Arial"/>
            <family val="2"/>
          </rPr>
          <t>Inkluderer IB</t>
        </r>
      </text>
    </comment>
    <comment ref="B57" authorId="0">
      <text>
        <r>
          <rPr>
            <sz val="10"/>
            <rFont val="Arial"/>
            <family val="2"/>
          </rPr>
          <t>Inkluderer IB</t>
        </r>
      </text>
    </comment>
    <comment ref="B58" authorId="0">
      <text>
        <r>
          <rPr>
            <sz val="10"/>
            <rFont val="Arial"/>
            <family val="2"/>
          </rPr>
          <t>Inkluderer IB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5" authorId="0">
      <text>
        <r>
          <rPr>
            <sz val="10"/>
            <rFont val="Arial"/>
            <family val="2"/>
          </rPr>
          <t>Håvard Tangvik:
Søker om 750 000 for hele perioden - som har blitt godkjent</t>
        </r>
      </text>
    </comment>
    <comment ref="G9" authorId="0">
      <text>
        <r>
          <rPr>
            <sz val="10"/>
            <rFont val="Arial"/>
            <family val="2"/>
          </rPr>
          <t>Håvard Tangvik:
Går inn sentralt til støtte for å finansiere kostnader sentralt</t>
        </r>
      </text>
    </comment>
    <comment ref="F10" authorId="0">
      <text>
        <r>
          <rPr>
            <sz val="10"/>
            <rFont val="Arial"/>
            <family val="2"/>
          </rPr>
          <t>Obs; blir dette riktig?
Her har TM noen kom</t>
        </r>
      </text>
    </comment>
    <comment ref="F11" authorId="0">
      <text>
        <r>
          <rPr>
            <sz val="10"/>
            <rFont val="Arial"/>
            <family val="2"/>
          </rPr>
          <t>Samme som over
Her har TM noen kom</t>
        </r>
      </text>
    </comment>
  </commentList>
</comments>
</file>

<file path=xl/sharedStrings.xml><?xml version="1.0" encoding="utf-8"?>
<sst xmlns="http://schemas.openxmlformats.org/spreadsheetml/2006/main" count="877" uniqueCount="477">
  <si>
    <t>CISV NORGE 2015 BUDSJETT</t>
  </si>
  <si>
    <t>Budsjett 15</t>
  </si>
  <si>
    <t>Regnskap 15</t>
  </si>
  <si>
    <t>Budsjett 14</t>
  </si>
  <si>
    <t>Regnskap 14</t>
  </si>
  <si>
    <t>Regnskap 13</t>
  </si>
  <si>
    <t>Diff Regn-Bud 2015</t>
  </si>
  <si>
    <t>Diff %</t>
  </si>
  <si>
    <t xml:space="preserve">CISV Norge 2015 - Inntekter </t>
  </si>
  <si>
    <t>Salgsinntekter, høy mva</t>
  </si>
  <si>
    <t>Salgsinntekter, avgiftsfrie</t>
  </si>
  <si>
    <t>Salgsinntekter</t>
  </si>
  <si>
    <t>Andre driftsrelaterte inntekter</t>
  </si>
  <si>
    <t>Momskompensasjon Inntekt</t>
  </si>
  <si>
    <t>Grunnstøtte BUFDIR</t>
  </si>
  <si>
    <t>LNU Midler</t>
  </si>
  <si>
    <t>Internasjonal avgift</t>
  </si>
  <si>
    <t>Frifondmidler</t>
  </si>
  <si>
    <t>Verden i - UDI Støtte</t>
  </si>
  <si>
    <t>Medlemskontingent</t>
  </si>
  <si>
    <t>Annen driftsinntekt</t>
  </si>
  <si>
    <t>SUM Inntekt</t>
  </si>
  <si>
    <t>CISV Norge 2015 -Kostnader</t>
  </si>
  <si>
    <t>Varekjøp</t>
  </si>
  <si>
    <t>Leirstøtte til fylkeslagene</t>
  </si>
  <si>
    <t>Deltakeravgifter</t>
  </si>
  <si>
    <t>Momskompensasjon UT</t>
  </si>
  <si>
    <t>Utbetaling medlemskontingengt til lokallagene</t>
  </si>
  <si>
    <t>Verden i - overføring til lokallag</t>
  </si>
  <si>
    <t>Varekostnad</t>
  </si>
  <si>
    <t>Lønn</t>
  </si>
  <si>
    <t>Prosjektlønn</t>
  </si>
  <si>
    <t>Lommepenger mm (EVS, FK)</t>
  </si>
  <si>
    <t>Faste lønninger</t>
  </si>
  <si>
    <t>Påløpne feriepenger</t>
  </si>
  <si>
    <t>Fri losji og bolig</t>
  </si>
  <si>
    <t>Andre fordeler i arbeidsforhold</t>
  </si>
  <si>
    <t>Arbeidsgiveravgift</t>
  </si>
  <si>
    <t>Arb.giv.avg.pål.feriep.</t>
  </si>
  <si>
    <t>Personalforsikring</t>
  </si>
  <si>
    <t>Innskuddspensjon</t>
  </si>
  <si>
    <t>Diverse lønnskostnader</t>
  </si>
  <si>
    <t>Lønnskostnad</t>
  </si>
  <si>
    <t>Kontorleie</t>
  </si>
  <si>
    <t>Leie lokaler</t>
  </si>
  <si>
    <t>Lys, varme</t>
  </si>
  <si>
    <t>Leie andre kontormaskiner</t>
  </si>
  <si>
    <t>Driftsmaterialer</t>
  </si>
  <si>
    <t>Rekvisita - utstyr</t>
  </si>
  <si>
    <t>Revisjons- og regnskapshonorar</t>
  </si>
  <si>
    <t>Honorar for økonomisk &amp; juridisk bistand</t>
  </si>
  <si>
    <t>Kontorrekvisita</t>
  </si>
  <si>
    <t>Datatjenester</t>
  </si>
  <si>
    <t>Trykksaker</t>
  </si>
  <si>
    <t>Aviser, tidsskrifter, bøker mv</t>
  </si>
  <si>
    <t>Møter, kurs, oppdatering mv.</t>
  </si>
  <si>
    <t>Mat/servering</t>
  </si>
  <si>
    <t>Telefon</t>
  </si>
  <si>
    <t>Porto</t>
  </si>
  <si>
    <t>Gaver</t>
  </si>
  <si>
    <t>Drivstoff</t>
  </si>
  <si>
    <t>Forsikringer</t>
  </si>
  <si>
    <t>Øreavrunding</t>
  </si>
  <si>
    <t>Reisekostnader, ikke oppgavepliktig</t>
  </si>
  <si>
    <t>Overnatting/hotell</t>
  </si>
  <si>
    <t>Representasjon, ikke fradragsberettiget</t>
  </si>
  <si>
    <t>Lisensavigter og royalties</t>
  </si>
  <si>
    <t>Medlemskontingenter</t>
  </si>
  <si>
    <t>Prosjektkoordinering</t>
  </si>
  <si>
    <t>Tilbakebetaling ubrukte prosjektmidler</t>
  </si>
  <si>
    <t>Diverse utgifter</t>
  </si>
  <si>
    <t>Forbruk varer</t>
  </si>
  <si>
    <t>Bank og kortgebyrer</t>
  </si>
  <si>
    <t>Tapsføring eiendeler</t>
  </si>
  <si>
    <t>Tap på fordringer</t>
  </si>
  <si>
    <t>Annen driftskostnad</t>
  </si>
  <si>
    <t>SUM Kostnad</t>
  </si>
  <si>
    <t>Driftsresultat</t>
  </si>
  <si>
    <t>Renteinntekter, skattefrie</t>
  </si>
  <si>
    <t>Nedskrivning av finansielle omløpsmidler</t>
  </si>
  <si>
    <t>Rentekostnader, ikke fradragsberettigede</t>
  </si>
  <si>
    <t>Finanskostnader</t>
  </si>
  <si>
    <t>Årsresultat</t>
  </si>
  <si>
    <t>Disponeringer</t>
  </si>
  <si>
    <t>Avbestillingsforsikring</t>
  </si>
  <si>
    <t>Internasjonale leirer (delegasjonsfondet)</t>
  </si>
  <si>
    <t>Fond – dersom miste LNU-støtte mhp leirstøtte</t>
  </si>
  <si>
    <t>Øst Europa</t>
  </si>
  <si>
    <t>STAI Fondet</t>
  </si>
  <si>
    <t>Reservefond</t>
  </si>
  <si>
    <t>Annen egenkapital</t>
  </si>
  <si>
    <t>SUM avsetninger</t>
  </si>
  <si>
    <t>Avsatt fri egenkapital</t>
  </si>
  <si>
    <t xml:space="preserve">Konto </t>
  </si>
  <si>
    <t>Kontonavn</t>
  </si>
  <si>
    <t>Totalt</t>
  </si>
  <si>
    <t>Sentralt</t>
  </si>
  <si>
    <t>Program</t>
  </si>
  <si>
    <t>Komiteer</t>
  </si>
  <si>
    <t>Prosjekter</t>
  </si>
  <si>
    <t>Budsjett 2015</t>
  </si>
  <si>
    <r>
      <t>Diff bud 2015 rsm, budsjett</t>
    </r>
    <r>
      <rPr>
        <sz val="8"/>
        <color indexed="8"/>
        <rFont val="Calibri"/>
        <family val="2"/>
      </rPr>
      <t xml:space="preserve"> 2015 LM</t>
    </r>
  </si>
  <si>
    <t>Regnskap 2014</t>
  </si>
  <si>
    <t>Budsjett</t>
  </si>
  <si>
    <t>Regnskap</t>
  </si>
  <si>
    <t>Inntekter</t>
  </si>
  <si>
    <t>Momskompensasjon</t>
  </si>
  <si>
    <t>Verden i - UDI støtte</t>
  </si>
  <si>
    <t>DRIFTSINNTEKTER</t>
  </si>
  <si>
    <t>Kostnader</t>
  </si>
  <si>
    <t>Leirstøtte</t>
  </si>
  <si>
    <t>Netto Internasjonal avgift</t>
  </si>
  <si>
    <t>Utbetaling medlemskontingent</t>
  </si>
  <si>
    <t>Lommepenger (EVS)</t>
  </si>
  <si>
    <t>Fri Losji og bolig</t>
  </si>
  <si>
    <t>Arb.giv.avg pål. Feriep.</t>
  </si>
  <si>
    <t>Lønnskostnader</t>
  </si>
  <si>
    <t>Revisjons og regnskap</t>
  </si>
  <si>
    <t>Honorar for økonomisk &amp; juridisk</t>
  </si>
  <si>
    <t>Aviser, tiddskrifter, bøker mv.</t>
  </si>
  <si>
    <t>Møter, kurs, oppdatering</t>
  </si>
  <si>
    <t>Reisekostnader, ikke oppg. Plikt</t>
  </si>
  <si>
    <t>Representasjon, ikke fradragsbe</t>
  </si>
  <si>
    <t>Lisensavgifter og royalties</t>
  </si>
  <si>
    <t>Tapsføring eiendel</t>
  </si>
  <si>
    <t>SUM Driftskostnader</t>
  </si>
  <si>
    <t>Andre finanskostnader</t>
  </si>
  <si>
    <t>SUM Finanskostnader</t>
  </si>
  <si>
    <t>Resultat før årsoppgjørsdisp.</t>
  </si>
  <si>
    <t>Sum disposisjoner</t>
  </si>
  <si>
    <t>Delegasjonsfondet</t>
  </si>
  <si>
    <t>Østeuropafondet</t>
  </si>
  <si>
    <t>Staifondet</t>
  </si>
  <si>
    <t>Sum avsetninger</t>
  </si>
  <si>
    <t>FINANSINNTEKTER 2015</t>
  </si>
  <si>
    <t>Finansinntekter</t>
  </si>
  <si>
    <t>Sum finansinntekter</t>
  </si>
  <si>
    <t>AVSETNING TIL FOND 2015</t>
  </si>
  <si>
    <t>Foreslår å kutte denne, og bare spare til STAI de årene vi går i overskudd</t>
  </si>
  <si>
    <t>PUNDKURS</t>
  </si>
  <si>
    <t>Pundkursen (Mot Fylkeslag)</t>
  </si>
  <si>
    <t>Pundkursen (Mot CISV International)</t>
  </si>
  <si>
    <t>DIVERS AVGIFTER</t>
  </si>
  <si>
    <t>valuta</t>
  </si>
  <si>
    <t>£ pr døgn pr deltaker (untatt IPP)</t>
  </si>
  <si>
    <t>Disse opplysningene hentes fra "C-10" hos CISV International Resources</t>
  </si>
  <si>
    <t>Internasjonal avgift - IPP</t>
  </si>
  <si>
    <t>£ pr døgn pr deltaker</t>
  </si>
  <si>
    <t>Internasjonal avgift - Interchange</t>
  </si>
  <si>
    <t>£ pr. deltaker</t>
  </si>
  <si>
    <t>Internasjonal avgift - Global Conference costsharing</t>
  </si>
  <si>
    <t>£ pr. fylkeslag og NA</t>
  </si>
  <si>
    <t>Internasjonal avgift - Chapter fee</t>
  </si>
  <si>
    <t xml:space="preserve">£ pr. fylkeslag   </t>
  </si>
  <si>
    <t>Internasjonal avgift - NA Membership</t>
  </si>
  <si>
    <t>£ for CISV Norge</t>
  </si>
  <si>
    <t>Internasjonal ansvarsforsikring</t>
  </si>
  <si>
    <t>Er nå inkludert i internasjonal avgift</t>
  </si>
  <si>
    <t>Nasjonal avgift</t>
  </si>
  <si>
    <t>kroner</t>
  </si>
  <si>
    <t>Norge</t>
  </si>
  <si>
    <t>Bør heves til 600 for å reflektere reell finansiering av drift</t>
  </si>
  <si>
    <t>Nasjonal avbestillingsforsikring</t>
  </si>
  <si>
    <t>Effektpakker</t>
  </si>
  <si>
    <t>Ledertrening - Barneleir</t>
  </si>
  <si>
    <t>pr delegat</t>
  </si>
  <si>
    <t>Ledertrening - JC</t>
  </si>
  <si>
    <t>pr JC</t>
  </si>
  <si>
    <t>Ledertrening - Step-Up</t>
  </si>
  <si>
    <t>Delegattrening - Step-Up</t>
  </si>
  <si>
    <t>Ledertrening - Interchange</t>
  </si>
  <si>
    <t>Ledertrening - Youth Meeting</t>
  </si>
  <si>
    <t>Delegattrening - Youth Meeting</t>
  </si>
  <si>
    <t>X – må vurderes strykes da få blir tilbudt dette</t>
  </si>
  <si>
    <t>Delegattrening - IPP</t>
  </si>
  <si>
    <t>x</t>
  </si>
  <si>
    <t>Delegattrening - Seminar</t>
  </si>
  <si>
    <t>Antall Program og Personer 2015</t>
  </si>
  <si>
    <t>Norden</t>
  </si>
  <si>
    <t>Europa</t>
  </si>
  <si>
    <t>USA/Canada</t>
  </si>
  <si>
    <t>Verden for øvrig</t>
  </si>
  <si>
    <t>Barneleir Delegasjoner</t>
  </si>
  <si>
    <t>Barneleir JC</t>
  </si>
  <si>
    <t>Egne Barneleire</t>
  </si>
  <si>
    <t>Step-Up Delegasjoner</t>
  </si>
  <si>
    <t>Egne Step-Up</t>
  </si>
  <si>
    <t>Interchange Delegasjoner</t>
  </si>
  <si>
    <t>Youth Meeting Delegasjoner 8 dager</t>
  </si>
  <si>
    <t>Youth Meeting Delegasjoner 15 dager</t>
  </si>
  <si>
    <t>Youth Meeting Individuell 8 dager</t>
  </si>
  <si>
    <t>Youth Meeting Individuell 15 dager</t>
  </si>
  <si>
    <t xml:space="preserve">Egne YM 8-dager </t>
  </si>
  <si>
    <t>Egne YM 15-dager</t>
  </si>
  <si>
    <t>Seminarleirdelegater</t>
  </si>
  <si>
    <t>Egne Seminarleire</t>
  </si>
  <si>
    <t xml:space="preserve"> </t>
  </si>
  <si>
    <t>IPP-delegater 14-18 dager</t>
  </si>
  <si>
    <t>IPP-delegater 19-23 dager</t>
  </si>
  <si>
    <t>Egne IPP 14-18 dager</t>
  </si>
  <si>
    <t>Antall deltakere 14-18 dager</t>
  </si>
  <si>
    <t>Spør Håvard: Hvorfor ligger IPP inne som den gjør med innlegg av samme delt på to ruter i oversikt variabler?</t>
  </si>
  <si>
    <t>Egne IPP 19-23 dager</t>
  </si>
  <si>
    <t>Antall deltakere 19-23 dager</t>
  </si>
  <si>
    <t>OPPDATER HELE DENNE MED ANDREAS</t>
  </si>
  <si>
    <t>LEIRSTØTTE FRA INTERNATIONAL OFFICE</t>
  </si>
  <si>
    <t>Barneleir (inkl. JC)</t>
  </si>
  <si>
    <t>£ pr leir</t>
  </si>
  <si>
    <t>Disse opplysningene hentes fra "C-10" hos CISV International Resources. Dette inntektsføres ikke, men brukes som rabatt mot kostnadene av internasjonale avgifter</t>
  </si>
  <si>
    <t>Oppdater denne!</t>
  </si>
  <si>
    <t>Step-Up</t>
  </si>
  <si>
    <t>IPP</t>
  </si>
  <si>
    <t>Youth Meeting</t>
  </si>
  <si>
    <t>Seminarleir</t>
  </si>
  <si>
    <t>POPULUS</t>
  </si>
  <si>
    <t>Hva er dette?</t>
  </si>
  <si>
    <t>Grunnstøtte</t>
  </si>
  <si>
    <t>kr</t>
  </si>
  <si>
    <t>Støtte pr time</t>
  </si>
  <si>
    <t>Inntekt 2015</t>
  </si>
  <si>
    <t>LEIRSTØTTE FRA CISV NORGE</t>
  </si>
  <si>
    <t>Barneleir</t>
  </si>
  <si>
    <t>Youth Meeting - 8dager</t>
  </si>
  <si>
    <t>Youth Meeting - 15dager</t>
  </si>
  <si>
    <t>Reisestøtte - Barneleir</t>
  </si>
  <si>
    <t>Delegasjoner - Finnmark</t>
  </si>
  <si>
    <t>Delegasjoner</t>
  </si>
  <si>
    <t>Støtte pr delegasjon</t>
  </si>
  <si>
    <t>Delegasjoner - Troms</t>
  </si>
  <si>
    <t>OPPDATER ME</t>
  </si>
  <si>
    <t>Delegasjoner - Sogn&amp;Fjordane</t>
  </si>
  <si>
    <t>Reisestøtte - Step-up</t>
  </si>
  <si>
    <t>TRENING</t>
  </si>
  <si>
    <t>Reise</t>
  </si>
  <si>
    <t>Opphold</t>
  </si>
  <si>
    <t>Deltakelse</t>
  </si>
  <si>
    <t>NEO</t>
  </si>
  <si>
    <t>LTS</t>
  </si>
  <si>
    <t>STAS</t>
  </si>
  <si>
    <t>SUDT</t>
  </si>
  <si>
    <t>Leir Kick-Off</t>
  </si>
  <si>
    <t>NJC/Seminarleirtrening</t>
  </si>
  <si>
    <t>INTERNASJONAL DRIFTSSTØTTE (BUFDIR)</t>
  </si>
  <si>
    <t>NASJONAL DRIFTSTØTTE (BUFDIR)</t>
  </si>
  <si>
    <t>Totalt tilskudd</t>
  </si>
  <si>
    <t>Går til internasjonale program</t>
  </si>
  <si>
    <t>Går til nasjonalt arbeid</t>
  </si>
  <si>
    <t>Antall deltakere</t>
  </si>
  <si>
    <t>Gjennomsnitt støtte pr deltaker</t>
  </si>
  <si>
    <t>Støtte pr deltakere</t>
  </si>
  <si>
    <t>TM: Her kunne vel stått "Støtte per int. Deltaker"?</t>
  </si>
  <si>
    <t>BARNELEIR</t>
  </si>
  <si>
    <t>Priser 2014</t>
  </si>
  <si>
    <t>Delegat/
Person</t>
  </si>
  <si>
    <t>Priser 2015</t>
  </si>
  <si>
    <t>Prisberegning</t>
  </si>
  <si>
    <t>Verden</t>
  </si>
  <si>
    <t>JC</t>
  </si>
  <si>
    <t>Delegasjon</t>
  </si>
  <si>
    <t>Nasjonal forsikring</t>
  </si>
  <si>
    <t>Pris pr delegasjon/delegat - Norden</t>
  </si>
  <si>
    <t>Effektpakke</t>
  </si>
  <si>
    <t>-</t>
  </si>
  <si>
    <t>Pris pr delegasjon/delegat - Europa</t>
  </si>
  <si>
    <t xml:space="preserve">Ledertrening </t>
  </si>
  <si>
    <t>Pris pr delegasjon/delegat - USA/Canada</t>
  </si>
  <si>
    <t>Ledertrening JC</t>
  </si>
  <si>
    <t>Pris pr delegasjon/delegat - Verden for øvrig</t>
  </si>
  <si>
    <t>Pris pr JC:</t>
  </si>
  <si>
    <t>Sum</t>
  </si>
  <si>
    <t>Kostutjevning</t>
  </si>
  <si>
    <t>Summercamp</t>
  </si>
  <si>
    <t>Pris pr. person</t>
  </si>
  <si>
    <t>STEP-UP</t>
  </si>
  <si>
    <t>Interchange</t>
  </si>
  <si>
    <t>Pris pr delegasjon/delegat</t>
  </si>
  <si>
    <t>Delegattrening</t>
  </si>
  <si>
    <t>Pris pr delegasjon/delegat - Delegasjon 8 dager</t>
  </si>
  <si>
    <t>Pris pr delegasjon/delegat - Delegasjon 15 dager</t>
  </si>
  <si>
    <t>Pris pr delegat - Delegat 8 dager</t>
  </si>
  <si>
    <t>Pris pr delegat - Delegat 15 dager</t>
  </si>
  <si>
    <t>INTERCHANGE</t>
  </si>
  <si>
    <t>Pr. person</t>
  </si>
  <si>
    <t>Pris pr delegat</t>
  </si>
  <si>
    <t>Pris pr delegat 14-18 dager</t>
  </si>
  <si>
    <t>Pris pr delegat 19-23 dager</t>
  </si>
  <si>
    <t>Avrunding</t>
  </si>
  <si>
    <t>YOUTH MEETING</t>
  </si>
  <si>
    <t>8-dager</t>
  </si>
  <si>
    <t>15-dager</t>
  </si>
  <si>
    <t>Ind. 8-dager</t>
  </si>
  <si>
    <t>Ind. 15-dager</t>
  </si>
  <si>
    <t>Nasjonal avbestilling</t>
  </si>
  <si>
    <t>Ledertrening</t>
  </si>
  <si>
    <t>SEMINAR</t>
  </si>
  <si>
    <t xml:space="preserve">Klarere med Håvard: </t>
  </si>
  <si>
    <r>
      <t xml:space="preserve">- Få inn utgiftssiden på program </t>
    </r>
    <r>
      <rPr>
        <b/>
        <sz val="11"/>
        <color indexed="8"/>
        <rFont val="Calibri"/>
        <family val="2"/>
      </rPr>
      <t>(</t>
    </r>
    <r>
      <rPr>
        <sz val="11"/>
        <color indexed="8"/>
        <rFont val="Calibri"/>
        <family val="2"/>
      </rPr>
      <t>nasjonal avgift</t>
    </r>
    <r>
      <rPr>
        <b/>
        <sz val="11"/>
        <color indexed="8"/>
        <rFont val="Calibri"/>
        <family val="2"/>
      </rPr>
      <t>)</t>
    </r>
  </si>
  <si>
    <t>Internasjonal Avgift</t>
  </si>
  <si>
    <t>14-18 dager</t>
  </si>
  <si>
    <t>19-23 dager</t>
  </si>
  <si>
    <t>Internasjonale avgifter</t>
  </si>
  <si>
    <t>SENTRALT - INNTEKTER 2015</t>
  </si>
  <si>
    <t>Nasjonal Driftstøtte BUFDIR</t>
  </si>
  <si>
    <t>Internasjonal Driftstøtte BUFDIR</t>
  </si>
  <si>
    <t>Global Conference fees fylkeslag</t>
  </si>
  <si>
    <t>Varesalg</t>
  </si>
  <si>
    <t>x Håvard – hva med nasjonal avgift inn på sentralt?</t>
  </si>
  <si>
    <t>Frifond Organisasjon</t>
  </si>
  <si>
    <t>Høstmøte og Landsmøte</t>
  </si>
  <si>
    <t>Avgifter fylkeslag</t>
  </si>
  <si>
    <t>Prosjekter – overføringer</t>
  </si>
  <si>
    <t>Momskompensasjon inn</t>
  </si>
  <si>
    <t>Medlemsblad</t>
  </si>
  <si>
    <t>Har lagt inn formel på denne.</t>
  </si>
  <si>
    <t>Totale inntekter</t>
  </si>
  <si>
    <t>SENTRALT - UTGIFTER 2015</t>
  </si>
  <si>
    <t>MØTER OG SEMINAR</t>
  </si>
  <si>
    <t>Reiser innenlands</t>
  </si>
  <si>
    <t>Reiser utenlands</t>
  </si>
  <si>
    <t>Kost/losji/opphold</t>
  </si>
  <si>
    <t>Diverse driftskostn.</t>
  </si>
  <si>
    <t xml:space="preserve">Seminar, (potter) </t>
  </si>
  <si>
    <t>Nasjonale møter</t>
  </si>
  <si>
    <t>Sentralstyremøter (2 møter)</t>
  </si>
  <si>
    <t>Overlappingsseminar</t>
  </si>
  <si>
    <t xml:space="preserve">Høstmøtet </t>
  </si>
  <si>
    <t>GlobalCon</t>
  </si>
  <si>
    <t xml:space="preserve">Komitémøte Januar </t>
  </si>
  <si>
    <t>Nasjonal Junior Camp (eksl. Seminarleirdeltakere)</t>
  </si>
  <si>
    <t>Internasjonale møter</t>
  </si>
  <si>
    <t xml:space="preserve">AIM </t>
  </si>
  <si>
    <t xml:space="preserve">IJBC </t>
  </si>
  <si>
    <t>EJBM</t>
  </si>
  <si>
    <t>EMEA</t>
  </si>
  <si>
    <t>SUM</t>
  </si>
  <si>
    <t>DRIFTSKOSTNADER</t>
  </si>
  <si>
    <t>Ulike poster</t>
  </si>
  <si>
    <t>Medlemsregister</t>
  </si>
  <si>
    <t>Regnskap og revisjon</t>
  </si>
  <si>
    <t>Kontingenter</t>
  </si>
  <si>
    <t>Drift nettsider, sosiale medier og nyhetsbrev</t>
  </si>
  <si>
    <t>Varekjøp, avg. Pl (inkl MVA)</t>
  </si>
  <si>
    <t>Håndtering effekter</t>
  </si>
  <si>
    <t>X-div.utg</t>
  </si>
  <si>
    <t xml:space="preserve"> .</t>
  </si>
  <si>
    <t>Tap fordringer</t>
  </si>
  <si>
    <t>Har fjernet dette i 2014</t>
  </si>
  <si>
    <t>Momskompensasjon ut</t>
  </si>
  <si>
    <t>+-ligger på kostnader</t>
  </si>
  <si>
    <t>Medlemsblad - Setting</t>
  </si>
  <si>
    <t>+20000 i B63</t>
  </si>
  <si>
    <t>Medlemsblad - Trykking</t>
  </si>
  <si>
    <t>Medlemsblad - Porto</t>
  </si>
  <si>
    <t>SEKRETARIATET</t>
  </si>
  <si>
    <t>Lønn Daglig Leder</t>
  </si>
  <si>
    <t>Forslag: Øke lønn med 2,5 prosent (Norges Bank)</t>
  </si>
  <si>
    <t>Feriepenger</t>
  </si>
  <si>
    <t>Arbeidsgiveravgift (inkl Feriepenger)</t>
  </si>
  <si>
    <t>Kontorhold (Kaffe/frukt)</t>
  </si>
  <si>
    <t>Forsikring</t>
  </si>
  <si>
    <t>Husleie</t>
  </si>
  <si>
    <t>Reklame/informasjonstiltak</t>
  </si>
  <si>
    <t>Leie kontormaskiner</t>
  </si>
  <si>
    <t>Kopiering</t>
  </si>
  <si>
    <t>Prosjektkoordinator/Informasjonsstilling</t>
  </si>
  <si>
    <t>Tilsvarende som med daglig leder? FK er 130´. Dersom øke her, øke utgiftene til CISV Norge</t>
  </si>
  <si>
    <t>Global Conference fee NA</t>
  </si>
  <si>
    <t>Satser finnes i dokument C-10</t>
  </si>
  <si>
    <t>UTVIKLINGSOPPGAVER</t>
  </si>
  <si>
    <t>Seminar, (potter)</t>
  </si>
  <si>
    <t>Kompetanseheving</t>
  </si>
  <si>
    <t>Andre tiltak</t>
  </si>
  <si>
    <t>Promoteringsmateriale</t>
  </si>
  <si>
    <t>RTF</t>
  </si>
  <si>
    <t>Ligger på reisekostnader sentralt</t>
  </si>
  <si>
    <t>Administrasjon Prosjekter</t>
  </si>
  <si>
    <t>EVS 1 og 2 - egenandel</t>
  </si>
  <si>
    <t>X Får ingen konsekvenser på sentralt</t>
  </si>
  <si>
    <t>ARBEIDSGRUPPER 2015</t>
  </si>
  <si>
    <t>Totale utgifter</t>
  </si>
  <si>
    <t>Møter og seminar</t>
  </si>
  <si>
    <t>Driftskostnader</t>
  </si>
  <si>
    <t>Sekretariatet</t>
  </si>
  <si>
    <t>Utviklingsoppgaver</t>
  </si>
  <si>
    <t>Arbeidsgrupper 2014</t>
  </si>
  <si>
    <t>Totale kostnader</t>
  </si>
  <si>
    <t>Totalinntekt ledertrening</t>
  </si>
  <si>
    <t>Step Up inntekt</t>
  </si>
  <si>
    <t>Seminarleir delegat</t>
  </si>
  <si>
    <t>Kostutjevning/avrunding</t>
  </si>
  <si>
    <t>YM delegattrening</t>
  </si>
  <si>
    <t>X – hva bør vi gjøre med YM delegattrening?</t>
  </si>
  <si>
    <t>Internasjonal driftstøtte BUFDIR</t>
  </si>
  <si>
    <t>Inntekt IC ledertrening</t>
  </si>
  <si>
    <t>YM ledertrening</t>
  </si>
  <si>
    <t>Nasjonal avgift (til sentral)</t>
  </si>
  <si>
    <t>XXX</t>
  </si>
  <si>
    <t>Reisestøtte - Finnmark</t>
  </si>
  <si>
    <t>Reisestøtte - Troms</t>
  </si>
  <si>
    <t>Reisestøtte - Sogn&amp;Fjordane</t>
  </si>
  <si>
    <t>LTS - Reise</t>
  </si>
  <si>
    <t>Totalkost ledertrening</t>
  </si>
  <si>
    <t>LTS - Kost/losji</t>
  </si>
  <si>
    <t>NEO - Reise</t>
  </si>
  <si>
    <t>NEO - Kost/losji</t>
  </si>
  <si>
    <t>STAS - Reise</t>
  </si>
  <si>
    <t>STAS - Kost/losji</t>
  </si>
  <si>
    <t>SUDT - Reise</t>
  </si>
  <si>
    <t>Step Up delegattrening</t>
  </si>
  <si>
    <t>SUDT - Kost/losji</t>
  </si>
  <si>
    <t>Kostnad seminarleir delegat</t>
  </si>
  <si>
    <t>Leir Kickoff - Reise</t>
  </si>
  <si>
    <t>Kostnad IC-ledertrening</t>
  </si>
  <si>
    <t>Leir Kickoff - Kost/losji</t>
  </si>
  <si>
    <t>NJC - Reise</t>
  </si>
  <si>
    <t>NJC - Kost/losji</t>
  </si>
  <si>
    <t>Rabatt internasjonal avgift/støtte CISV IO</t>
  </si>
  <si>
    <t>Totale kostnader eksk avbestillingsforsikring</t>
  </si>
  <si>
    <t>Totale kostnader inkl avbestillingsforsikring</t>
  </si>
  <si>
    <t>NETTO</t>
  </si>
  <si>
    <t>Få inn LIC på STAS</t>
  </si>
  <si>
    <t>OBS! Leirlederseminar? And mener det ligger inne på kost/losji på andre</t>
  </si>
  <si>
    <t>Avtalegiro</t>
  </si>
  <si>
    <t>Utdanning</t>
  </si>
  <si>
    <t>Org.utvikling</t>
  </si>
  <si>
    <t>Informasjon</t>
  </si>
  <si>
    <t>Mosaikk</t>
  </si>
  <si>
    <t>Junior</t>
  </si>
  <si>
    <t>Januarmøtet</t>
  </si>
  <si>
    <t>Komitemøte</t>
  </si>
  <si>
    <t>Mosaikpotten</t>
  </si>
  <si>
    <t>Mosaikprisen</t>
  </si>
  <si>
    <t>Strategiske satsninger</t>
  </si>
  <si>
    <t>Stabstrening Verden-I</t>
  </si>
  <si>
    <t>Stab LTS-Vest</t>
  </si>
  <si>
    <t>Stab LTS-Øst</t>
  </si>
  <si>
    <t>Stab NEO</t>
  </si>
  <si>
    <t>Stab STAS</t>
  </si>
  <si>
    <t>Stab SUDT Vest</t>
  </si>
  <si>
    <t>Stab SUDT Øst</t>
  </si>
  <si>
    <t>Stab NJC</t>
  </si>
  <si>
    <t>PROSJEKTER I 2015</t>
  </si>
  <si>
    <t>Total utbetaling</t>
  </si>
  <si>
    <t>Forbruk av utbetaling</t>
  </si>
  <si>
    <t>Overføres og forbrukes sentralt</t>
  </si>
  <si>
    <t>Tilleggsforbruk utover utbetaling dekkes sentralt</t>
  </si>
  <si>
    <t>Navn:</t>
  </si>
  <si>
    <t>Type prosjekt:</t>
  </si>
  <si>
    <t>Tidspunkt:</t>
  </si>
  <si>
    <t>Søker om:</t>
  </si>
  <si>
    <t>Kostnad 2015</t>
  </si>
  <si>
    <t>Administrasjon 2015</t>
  </si>
  <si>
    <t>Egenandel</t>
  </si>
  <si>
    <t>Egenandel - Kommentar</t>
  </si>
  <si>
    <t>Peace One Day</t>
  </si>
  <si>
    <t>Opplysningsarbeid for fred UD</t>
  </si>
  <si>
    <t>Utveksling med CISV Colombia - Mangfold</t>
  </si>
  <si>
    <t>Fredskorpset</t>
  </si>
  <si>
    <t>2014-2016</t>
  </si>
  <si>
    <t>Basert på LNU Utveksling</t>
  </si>
  <si>
    <t>UDI - Verden i</t>
  </si>
  <si>
    <t>UDI</t>
  </si>
  <si>
    <t>LNU Kultur</t>
  </si>
  <si>
    <t>OnBoard</t>
  </si>
  <si>
    <t>Bok – Jirafa</t>
  </si>
  <si>
    <t>LNU og UD</t>
  </si>
  <si>
    <t>Studieforbundet for Næring og Samfunn</t>
  </si>
  <si>
    <t>SNS - Leirstøtte</t>
  </si>
  <si>
    <t>Vår 2015</t>
  </si>
  <si>
    <t>EVS 1</t>
  </si>
  <si>
    <t>Aktiv Ungdom</t>
  </si>
  <si>
    <t>Forslag - Dekkes av CISV Norge - Ligger inne Sentralt</t>
  </si>
  <si>
    <t>EVS 2</t>
  </si>
  <si>
    <t>Interchange 2014</t>
  </si>
  <si>
    <t>Interchange/Aktiv Ungdom</t>
  </si>
  <si>
    <t>Dette arket bør endres slik at man ser hva inntekter og hva type kostnader som inkluderes i pottene</t>
  </si>
  <si>
    <t>Landsmøtet CISV Norge, Trondheim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</si>
</sst>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#,##0\ ;&quot; -&quot;#,##0\ ;&quot; - &quot;;@\ "/>
    <numFmt numFmtId="165" formatCode="\ #,##0\ ;\(#,##0\)"/>
    <numFmt numFmtId="166" formatCode="#,##0.0;\-#,##0.0"/>
    <numFmt numFmtId="167" formatCode="\ #,##0.00\ ;&quot; -&quot;#,##0.00\ ;&quot; -&quot;#\ ;@\ "/>
    <numFmt numFmtId="168" formatCode="[$kr-414]\ #,##0.00;[Red]\-[$kr-414]\ #,##0.00"/>
    <numFmt numFmtId="169" formatCode="[$kr-406]\ #,##0;[$kr-406]&quot; -&quot;#,##0"/>
    <numFmt numFmtId="170" formatCode="d/\ mmm\ yy"/>
    <numFmt numFmtId="171" formatCode="&quot; kr &quot;#,##0.00\ ;&quot; kr -&quot;#,##0.00\ ;&quot; kr -&quot;#\ ;@\ 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5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1"/>
      <color indexed="56"/>
      <name val="Calibri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37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0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34"/>
      </patternFill>
    </fill>
    <fill>
      <patternFill patternType="solid">
        <fgColor indexed="55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1"/>
      </patternFill>
    </fill>
    <fill>
      <patternFill patternType="solid">
        <fgColor indexed="50"/>
        <bgColor indexed="55"/>
      </patternFill>
    </fill>
    <fill>
      <patternFill patternType="solid">
        <fgColor indexed="26"/>
        <bgColor indexed="41"/>
      </patternFill>
    </fill>
    <fill>
      <patternFill patternType="solid">
        <fgColor indexed="47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17"/>
        <bgColor indexed="58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7">
    <xf numFmtId="0" fontId="0" fillId="0" borderId="0"/>
    <xf numFmtId="167" fontId="1" fillId="0" borderId="0"/>
    <xf numFmtId="0" fontId="18" fillId="0" borderId="0"/>
    <xf numFmtId="0" fontId="1" fillId="0" borderId="0"/>
    <xf numFmtId="0" fontId="1" fillId="0" borderId="0"/>
    <xf numFmtId="0" fontId="24" fillId="0" borderId="0">
      <alignment vertical="center"/>
    </xf>
    <xf numFmtId="9" fontId="1" fillId="0" borderId="0"/>
  </cellStyleXfs>
  <cellXfs count="319">
    <xf numFmtId="0" fontId="0" fillId="0" borderId="0" xfId="0"/>
    <xf numFmtId="0" fontId="1" fillId="2" borderId="0" xfId="3" applyFill="1"/>
    <xf numFmtId="0" fontId="3" fillId="2" borderId="1" xfId="3" applyFont="1" applyFill="1" applyBorder="1" applyAlignment="1"/>
    <xf numFmtId="0" fontId="4" fillId="3" borderId="1" xfId="3" applyFont="1" applyFill="1" applyBorder="1"/>
    <xf numFmtId="0" fontId="4" fillId="4" borderId="1" xfId="3" applyFont="1" applyFill="1" applyBorder="1"/>
    <xf numFmtId="4" fontId="3" fillId="2" borderId="1" xfId="3" applyNumberFormat="1" applyFont="1" applyFill="1" applyBorder="1"/>
    <xf numFmtId="0" fontId="3" fillId="2" borderId="1" xfId="3" applyFont="1" applyFill="1" applyBorder="1"/>
    <xf numFmtId="0" fontId="3" fillId="2" borderId="2" xfId="3" applyFont="1" applyFill="1" applyBorder="1" applyAlignment="1"/>
    <xf numFmtId="0" fontId="4" fillId="3" borderId="2" xfId="3" applyFont="1" applyFill="1" applyBorder="1"/>
    <xf numFmtId="0" fontId="4" fillId="4" borderId="2" xfId="3" applyFont="1" applyFill="1" applyBorder="1"/>
    <xf numFmtId="4" fontId="3" fillId="2" borderId="2" xfId="3" applyNumberFormat="1" applyFont="1" applyFill="1" applyBorder="1"/>
    <xf numFmtId="0" fontId="3" fillId="2" borderId="2" xfId="3" applyFont="1" applyFill="1" applyBorder="1"/>
    <xf numFmtId="4" fontId="1" fillId="2" borderId="0" xfId="3" applyNumberFormat="1" applyFill="1"/>
    <xf numFmtId="4" fontId="5" fillId="3" borderId="0" xfId="3" applyNumberFormat="1" applyFont="1" applyFill="1"/>
    <xf numFmtId="4" fontId="5" fillId="4" borderId="0" xfId="3" applyNumberFormat="1" applyFont="1" applyFill="1"/>
    <xf numFmtId="9" fontId="1" fillId="2" borderId="0" xfId="6" applyFont="1" applyFill="1" applyBorder="1" applyAlignment="1" applyProtection="1"/>
    <xf numFmtId="0" fontId="3" fillId="2" borderId="0" xfId="3" applyFont="1" applyFill="1"/>
    <xf numFmtId="4" fontId="1" fillId="2" borderId="3" xfId="3" applyNumberFormat="1" applyFill="1" applyBorder="1"/>
    <xf numFmtId="4" fontId="5" fillId="3" borderId="3" xfId="3" applyNumberFormat="1" applyFont="1" applyFill="1" applyBorder="1"/>
    <xf numFmtId="4" fontId="5" fillId="4" borderId="3" xfId="3" applyNumberFormat="1" applyFont="1" applyFill="1" applyBorder="1"/>
    <xf numFmtId="9" fontId="1" fillId="2" borderId="3" xfId="6" applyFont="1" applyFill="1" applyBorder="1" applyAlignment="1" applyProtection="1"/>
    <xf numFmtId="4" fontId="1" fillId="2" borderId="2" xfId="3" applyNumberFormat="1" applyFill="1" applyBorder="1"/>
    <xf numFmtId="4" fontId="5" fillId="3" borderId="2" xfId="3" applyNumberFormat="1" applyFont="1" applyFill="1" applyBorder="1"/>
    <xf numFmtId="4" fontId="5" fillId="4" borderId="2" xfId="3" applyNumberFormat="1" applyFont="1" applyFill="1" applyBorder="1"/>
    <xf numFmtId="9" fontId="1" fillId="2" borderId="2" xfId="6" applyFont="1" applyFill="1" applyBorder="1" applyAlignment="1" applyProtection="1"/>
    <xf numFmtId="0" fontId="1" fillId="2" borderId="2" xfId="3" applyFill="1" applyBorder="1"/>
    <xf numFmtId="4" fontId="3" fillId="2" borderId="1" xfId="3" applyNumberFormat="1" applyFont="1" applyFill="1" applyBorder="1" applyAlignment="1"/>
    <xf numFmtId="4" fontId="4" fillId="3" borderId="1" xfId="3" applyNumberFormat="1" applyFont="1" applyFill="1" applyBorder="1"/>
    <xf numFmtId="4" fontId="4" fillId="4" borderId="1" xfId="3" applyNumberFormat="1" applyFont="1" applyFill="1" applyBorder="1"/>
    <xf numFmtId="4" fontId="1" fillId="2" borderId="0" xfId="3" applyNumberFormat="1" applyFill="1" applyBorder="1"/>
    <xf numFmtId="4" fontId="5" fillId="3" borderId="0" xfId="3" applyNumberFormat="1" applyFont="1" applyFill="1" applyBorder="1"/>
    <xf numFmtId="4" fontId="5" fillId="4" borderId="0" xfId="3" applyNumberFormat="1" applyFont="1" applyFill="1" applyBorder="1"/>
    <xf numFmtId="4" fontId="1" fillId="3" borderId="0" xfId="3" applyNumberFormat="1" applyFill="1"/>
    <xf numFmtId="4" fontId="1" fillId="4" borderId="0" xfId="3" applyNumberFormat="1" applyFill="1"/>
    <xf numFmtId="4" fontId="1" fillId="3" borderId="0" xfId="3" applyNumberFormat="1" applyFill="1" applyAlignment="1">
      <alignment horizontal="right"/>
    </xf>
    <xf numFmtId="4" fontId="1" fillId="3" borderId="2" xfId="3" applyNumberFormat="1" applyFill="1" applyBorder="1"/>
    <xf numFmtId="4" fontId="1" fillId="4" borderId="2" xfId="3" applyNumberFormat="1" applyFill="1" applyBorder="1"/>
    <xf numFmtId="4" fontId="1" fillId="3" borderId="0" xfId="3" applyNumberFormat="1" applyFill="1" applyBorder="1"/>
    <xf numFmtId="4" fontId="1" fillId="4" borderId="0" xfId="3" applyNumberFormat="1" applyFill="1" applyBorder="1"/>
    <xf numFmtId="0" fontId="3" fillId="2" borderId="4" xfId="3" applyFont="1" applyFill="1" applyBorder="1"/>
    <xf numFmtId="4" fontId="3" fillId="2" borderId="4" xfId="3" applyNumberFormat="1" applyFont="1" applyFill="1" applyBorder="1"/>
    <xf numFmtId="4" fontId="3" fillId="3" borderId="4" xfId="3" applyNumberFormat="1" applyFont="1" applyFill="1" applyBorder="1"/>
    <xf numFmtId="4" fontId="3" fillId="4" borderId="4" xfId="3" applyNumberFormat="1" applyFont="1" applyFill="1" applyBorder="1"/>
    <xf numFmtId="0" fontId="1" fillId="3" borderId="0" xfId="3" applyFill="1"/>
    <xf numFmtId="0" fontId="1" fillId="4" borderId="0" xfId="3" applyFill="1"/>
    <xf numFmtId="0" fontId="1" fillId="2" borderId="1" xfId="3" applyFill="1" applyBorder="1"/>
    <xf numFmtId="0" fontId="1" fillId="2" borderId="5" xfId="3" applyFont="1" applyFill="1" applyBorder="1"/>
    <xf numFmtId="4" fontId="1" fillId="2" borderId="6" xfId="3" applyNumberFormat="1" applyFill="1" applyBorder="1"/>
    <xf numFmtId="4" fontId="1" fillId="3" borderId="6" xfId="3" applyNumberFormat="1" applyFill="1" applyBorder="1"/>
    <xf numFmtId="4" fontId="1" fillId="4" borderId="5" xfId="3" applyNumberFormat="1" applyFill="1" applyBorder="1"/>
    <xf numFmtId="0" fontId="1" fillId="2" borderId="7" xfId="3" applyFont="1" applyFill="1" applyBorder="1"/>
    <xf numFmtId="4" fontId="1" fillId="2" borderId="8" xfId="3" applyNumberFormat="1" applyFill="1" applyBorder="1"/>
    <xf numFmtId="4" fontId="1" fillId="3" borderId="8" xfId="3" applyNumberFormat="1" applyFill="1" applyBorder="1"/>
    <xf numFmtId="4" fontId="1" fillId="4" borderId="7" xfId="3" applyNumberFormat="1" applyFill="1" applyBorder="1"/>
    <xf numFmtId="0" fontId="1" fillId="2" borderId="9" xfId="3" applyFont="1" applyFill="1" applyBorder="1"/>
    <xf numFmtId="4" fontId="1" fillId="2" borderId="10" xfId="3" applyNumberFormat="1" applyFill="1" applyBorder="1"/>
    <xf numFmtId="4" fontId="1" fillId="3" borderId="10" xfId="3" applyNumberFormat="1" applyFill="1" applyBorder="1"/>
    <xf numFmtId="4" fontId="1" fillId="4" borderId="9" xfId="3" applyNumberFormat="1" applyFill="1" applyBorder="1"/>
    <xf numFmtId="4" fontId="1" fillId="4" borderId="6" xfId="3" applyNumberFormat="1" applyFill="1" applyBorder="1"/>
    <xf numFmtId="4" fontId="1" fillId="4" borderId="10" xfId="3" applyNumberFormat="1" applyFill="1" applyBorder="1"/>
    <xf numFmtId="0" fontId="1" fillId="0" borderId="0" xfId="4"/>
    <xf numFmtId="0" fontId="1" fillId="0" borderId="10" xfId="4" applyFont="1" applyBorder="1"/>
    <xf numFmtId="0" fontId="1" fillId="0" borderId="3" xfId="4" applyBorder="1"/>
    <xf numFmtId="0" fontId="1" fillId="5" borderId="11" xfId="4" applyFont="1" applyFill="1" applyBorder="1"/>
    <xf numFmtId="0" fontId="1" fillId="6" borderId="12" xfId="4" applyFont="1" applyFill="1" applyBorder="1"/>
    <xf numFmtId="0" fontId="1" fillId="6" borderId="13" xfId="4" applyFont="1" applyFill="1" applyBorder="1"/>
    <xf numFmtId="0" fontId="1" fillId="5" borderId="13" xfId="4" applyFont="1" applyFill="1" applyBorder="1"/>
    <xf numFmtId="0" fontId="1" fillId="7" borderId="13" xfId="4" applyFont="1" applyFill="1" applyBorder="1"/>
    <xf numFmtId="0" fontId="3" fillId="0" borderId="0" xfId="4" applyFont="1" applyAlignment="1">
      <alignment horizontal="left"/>
    </xf>
    <xf numFmtId="0" fontId="1" fillId="5" borderId="8" xfId="4" applyFill="1" applyBorder="1"/>
    <xf numFmtId="164" fontId="1" fillId="6" borderId="8" xfId="4" applyNumberFormat="1" applyFill="1" applyBorder="1"/>
    <xf numFmtId="164" fontId="1" fillId="5" borderId="6" xfId="4" applyNumberFormat="1" applyFill="1" applyBorder="1"/>
    <xf numFmtId="164" fontId="1" fillId="0" borderId="5" xfId="4" applyNumberFormat="1" applyBorder="1"/>
    <xf numFmtId="164" fontId="1" fillId="0" borderId="3" xfId="4" applyNumberFormat="1" applyBorder="1"/>
    <xf numFmtId="0" fontId="7" fillId="0" borderId="0" xfId="4" applyFont="1"/>
    <xf numFmtId="0" fontId="8" fillId="0" borderId="0" xfId="4" applyFont="1"/>
    <xf numFmtId="164" fontId="1" fillId="5" borderId="8" xfId="4" applyNumberFormat="1" applyFont="1" applyFill="1" applyBorder="1"/>
    <xf numFmtId="164" fontId="1" fillId="6" borderId="8" xfId="4" applyNumberFormat="1" applyFont="1" applyFill="1" applyBorder="1"/>
    <xf numFmtId="164" fontId="1" fillId="5" borderId="8" xfId="4" applyNumberFormat="1" applyFill="1" applyBorder="1"/>
    <xf numFmtId="164" fontId="1" fillId="0" borderId="7" xfId="4" applyNumberFormat="1" applyBorder="1"/>
    <xf numFmtId="164" fontId="1" fillId="0" borderId="0" xfId="4" applyNumberFormat="1" applyBorder="1"/>
    <xf numFmtId="0" fontId="9" fillId="0" borderId="0" xfId="0" applyFont="1"/>
    <xf numFmtId="0" fontId="10" fillId="0" borderId="0" xfId="4" applyFont="1" applyAlignment="1">
      <alignment horizontal="left"/>
    </xf>
    <xf numFmtId="164" fontId="1" fillId="8" borderId="8" xfId="4" applyNumberFormat="1" applyFill="1" applyBorder="1"/>
    <xf numFmtId="164" fontId="1" fillId="8" borderId="7" xfId="4" applyNumberFormat="1" applyFill="1" applyBorder="1"/>
    <xf numFmtId="164" fontId="1" fillId="8" borderId="0" xfId="4" applyNumberFormat="1" applyFill="1" applyBorder="1"/>
    <xf numFmtId="0" fontId="8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164" fontId="1" fillId="8" borderId="14" xfId="4" applyNumberFormat="1" applyFill="1" applyBorder="1"/>
    <xf numFmtId="164" fontId="1" fillId="9" borderId="8" xfId="4" applyNumberFormat="1" applyFill="1" applyBorder="1"/>
    <xf numFmtId="164" fontId="1" fillId="9" borderId="14" xfId="4" applyNumberFormat="1" applyFill="1" applyBorder="1"/>
    <xf numFmtId="0" fontId="3" fillId="0" borderId="0" xfId="4" applyFont="1"/>
    <xf numFmtId="164" fontId="1" fillId="0" borderId="7" xfId="4" applyNumberFormat="1" applyFont="1" applyBorder="1"/>
    <xf numFmtId="0" fontId="8" fillId="7" borderId="0" xfId="4" applyFont="1" applyFill="1"/>
    <xf numFmtId="0" fontId="10" fillId="0" borderId="0" xfId="4" applyFont="1"/>
    <xf numFmtId="0" fontId="11" fillId="0" borderId="0" xfId="4" applyFont="1"/>
    <xf numFmtId="164" fontId="1" fillId="0" borderId="0" xfId="4" applyNumberFormat="1"/>
    <xf numFmtId="164" fontId="1" fillId="2" borderId="0" xfId="4" applyNumberFormat="1" applyFont="1" applyFill="1" applyBorder="1"/>
    <xf numFmtId="164" fontId="1" fillId="9" borderId="10" xfId="4" applyNumberFormat="1" applyFill="1" applyBorder="1"/>
    <xf numFmtId="164" fontId="1" fillId="2" borderId="10" xfId="4" applyNumberFormat="1" applyFont="1" applyFill="1" applyBorder="1"/>
    <xf numFmtId="164" fontId="1" fillId="0" borderId="0" xfId="4" applyNumberFormat="1" applyFill="1" applyBorder="1"/>
    <xf numFmtId="0" fontId="4" fillId="0" borderId="0" xfId="4" applyFont="1"/>
    <xf numFmtId="164" fontId="1" fillId="10" borderId="8" xfId="4" applyNumberFormat="1" applyFill="1" applyBorder="1"/>
    <xf numFmtId="164" fontId="1" fillId="2" borderId="14" xfId="4" applyNumberFormat="1" applyFont="1" applyFill="1" applyBorder="1"/>
    <xf numFmtId="0" fontId="1" fillId="0" borderId="0" xfId="4" applyFill="1" applyBorder="1"/>
    <xf numFmtId="0" fontId="14" fillId="0" borderId="0" xfId="4" applyFont="1"/>
    <xf numFmtId="164" fontId="1" fillId="6" borderId="0" xfId="4" applyNumberFormat="1" applyFont="1" applyFill="1" applyBorder="1"/>
    <xf numFmtId="164" fontId="3" fillId="5" borderId="0" xfId="4" applyNumberFormat="1" applyFont="1" applyFill="1"/>
    <xf numFmtId="164" fontId="1" fillId="0" borderId="8" xfId="4" applyNumberFormat="1" applyBorder="1"/>
    <xf numFmtId="164" fontId="1" fillId="5" borderId="0" xfId="4" applyNumberFormat="1" applyFill="1"/>
    <xf numFmtId="164" fontId="1" fillId="0" borderId="14" xfId="4" applyNumberFormat="1" applyBorder="1"/>
    <xf numFmtId="164" fontId="1" fillId="8" borderId="6" xfId="4" applyNumberFormat="1" applyFill="1" applyBorder="1"/>
    <xf numFmtId="164" fontId="1" fillId="8" borderId="15" xfId="4" applyNumberFormat="1" applyFill="1" applyBorder="1"/>
    <xf numFmtId="0" fontId="1" fillId="0" borderId="0" xfId="4" applyBorder="1"/>
    <xf numFmtId="164" fontId="1" fillId="10" borderId="6" xfId="4" applyNumberFormat="1" applyFill="1" applyBorder="1"/>
    <xf numFmtId="0" fontId="3" fillId="2" borderId="13" xfId="3" applyFont="1" applyFill="1" applyBorder="1"/>
    <xf numFmtId="0" fontId="1" fillId="2" borderId="11" xfId="3" applyFill="1" applyBorder="1"/>
    <xf numFmtId="0" fontId="1" fillId="2" borderId="14" xfId="3" applyFill="1" applyBorder="1"/>
    <xf numFmtId="0" fontId="1" fillId="2" borderId="13" xfId="3" applyFont="1" applyFill="1" applyBorder="1"/>
    <xf numFmtId="165" fontId="1" fillId="11" borderId="11" xfId="3" applyNumberFormat="1" applyFill="1" applyBorder="1"/>
    <xf numFmtId="165" fontId="1" fillId="2" borderId="7" xfId="3" applyNumberFormat="1" applyFill="1" applyBorder="1"/>
    <xf numFmtId="0" fontId="1" fillId="2" borderId="16" xfId="3" applyFont="1" applyFill="1" applyBorder="1"/>
    <xf numFmtId="0" fontId="15" fillId="2" borderId="1" xfId="3" applyNumberFormat="1" applyFont="1" applyFill="1" applyBorder="1" applyAlignment="1">
      <alignment wrapText="1"/>
    </xf>
    <xf numFmtId="0" fontId="1" fillId="2" borderId="0" xfId="3" applyFill="1" applyAlignment="1">
      <alignment vertical="center"/>
    </xf>
    <xf numFmtId="0" fontId="16" fillId="2" borderId="15" xfId="3" applyNumberFormat="1" applyFont="1" applyFill="1" applyBorder="1" applyAlignment="1"/>
    <xf numFmtId="0" fontId="0" fillId="2" borderId="5" xfId="3" applyNumberFormat="1" applyFont="1" applyFill="1" applyBorder="1" applyAlignment="1"/>
    <xf numFmtId="0" fontId="0" fillId="2" borderId="14" xfId="3" applyNumberFormat="1" applyFont="1" applyFill="1" applyBorder="1" applyAlignment="1">
      <alignment wrapText="1"/>
    </xf>
    <xf numFmtId="0" fontId="9" fillId="2" borderId="0" xfId="3" applyFont="1" applyFill="1" applyAlignment="1">
      <alignment vertical="center"/>
    </xf>
    <xf numFmtId="0" fontId="0" fillId="2" borderId="14" xfId="3" applyNumberFormat="1" applyFont="1" applyFill="1" applyBorder="1" applyAlignment="1"/>
    <xf numFmtId="166" fontId="0" fillId="12" borderId="7" xfId="3" applyNumberFormat="1" applyFont="1" applyFill="1" applyBorder="1" applyAlignment="1"/>
    <xf numFmtId="0" fontId="0" fillId="2" borderId="16" xfId="3" applyNumberFormat="1" applyFont="1" applyFill="1" applyBorder="1" applyAlignment="1"/>
    <xf numFmtId="166" fontId="0" fillId="12" borderId="9" xfId="3" applyNumberFormat="1" applyFont="1" applyFill="1" applyBorder="1" applyAlignment="1"/>
    <xf numFmtId="0" fontId="0" fillId="2" borderId="2" xfId="3" applyNumberFormat="1" applyFont="1" applyFill="1" applyBorder="1" applyAlignment="1">
      <alignment wrapText="1"/>
    </xf>
    <xf numFmtId="0" fontId="0" fillId="2" borderId="1" xfId="3" applyNumberFormat="1" applyFont="1" applyFill="1" applyBorder="1" applyAlignment="1">
      <alignment wrapText="1"/>
    </xf>
    <xf numFmtId="0" fontId="0" fillId="2" borderId="3" xfId="3" applyNumberFormat="1" applyFont="1" applyFill="1" applyBorder="1" applyAlignment="1"/>
    <xf numFmtId="0" fontId="0" fillId="2" borderId="0" xfId="3" applyNumberFormat="1" applyFont="1" applyFill="1" applyBorder="1" applyAlignment="1">
      <alignment wrapText="1"/>
    </xf>
    <xf numFmtId="167" fontId="0" fillId="12" borderId="0" xfId="1" applyFont="1" applyFill="1" applyBorder="1" applyAlignment="1" applyProtection="1"/>
    <xf numFmtId="0" fontId="0" fillId="2" borderId="0" xfId="3" applyNumberFormat="1" applyFont="1" applyFill="1" applyAlignment="1"/>
    <xf numFmtId="0" fontId="0" fillId="2" borderId="7" xfId="3" applyNumberFormat="1" applyFont="1" applyFill="1" applyBorder="1" applyAlignment="1"/>
    <xf numFmtId="0" fontId="17" fillId="2" borderId="14" xfId="2" applyNumberFormat="1" applyFont="1" applyFill="1" applyBorder="1" applyAlignment="1" applyProtection="1">
      <alignment horizontal="center" vertical="center" wrapText="1"/>
    </xf>
    <xf numFmtId="0" fontId="17" fillId="2" borderId="0" xfId="2" applyNumberFormat="1" applyFont="1" applyFill="1" applyBorder="1" applyAlignment="1" applyProtection="1">
      <alignment horizontal="center" vertical="center" wrapText="1"/>
    </xf>
    <xf numFmtId="165" fontId="0" fillId="12" borderId="0" xfId="3" applyNumberFormat="1" applyFont="1" applyFill="1" applyAlignment="1"/>
    <xf numFmtId="0" fontId="0" fillId="2" borderId="0" xfId="3" applyNumberFormat="1" applyFont="1" applyFill="1" applyAlignment="1">
      <alignment vertical="center"/>
    </xf>
    <xf numFmtId="0" fontId="15" fillId="2" borderId="0" xfId="3" applyNumberFormat="1" applyFont="1" applyFill="1" applyAlignment="1">
      <alignment vertical="center"/>
    </xf>
    <xf numFmtId="165" fontId="0" fillId="12" borderId="1" xfId="3" applyNumberFormat="1" applyFont="1" applyFill="1" applyBorder="1" applyAlignment="1"/>
    <xf numFmtId="0" fontId="0" fillId="2" borderId="1" xfId="3" applyNumberFormat="1" applyFont="1" applyFill="1" applyBorder="1" applyAlignment="1"/>
    <xf numFmtId="0" fontId="0" fillId="2" borderId="9" xfId="3" applyNumberFormat="1" applyFont="1" applyFill="1" applyBorder="1" applyAlignment="1"/>
    <xf numFmtId="0" fontId="0" fillId="2" borderId="3" xfId="3" applyNumberFormat="1" applyFont="1" applyFill="1" applyBorder="1" applyAlignment="1">
      <alignment wrapText="1"/>
    </xf>
    <xf numFmtId="0" fontId="16" fillId="2" borderId="15" xfId="3" applyNumberFormat="1" applyFont="1" applyFill="1" applyBorder="1" applyAlignment="1">
      <alignment wrapText="1"/>
    </xf>
    <xf numFmtId="0" fontId="9" fillId="2" borderId="3" xfId="3" applyFont="1" applyFill="1" applyBorder="1"/>
    <xf numFmtId="0" fontId="9" fillId="2" borderId="3" xfId="3" applyFont="1" applyFill="1" applyBorder="1" applyAlignment="1">
      <alignment vertical="center"/>
    </xf>
    <xf numFmtId="0" fontId="0" fillId="2" borderId="5" xfId="3" applyNumberFormat="1" applyFont="1" applyFill="1" applyBorder="1" applyAlignment="1">
      <alignment vertical="center"/>
    </xf>
    <xf numFmtId="0" fontId="9" fillId="2" borderId="14" xfId="3" applyFont="1" applyFill="1" applyBorder="1"/>
    <xf numFmtId="0" fontId="16" fillId="2" borderId="1" xfId="3" applyNumberFormat="1" applyFont="1" applyFill="1" applyBorder="1" applyAlignment="1">
      <alignment wrapText="1"/>
    </xf>
    <xf numFmtId="0" fontId="19" fillId="2" borderId="1" xfId="3" applyFont="1" applyFill="1" applyBorder="1" applyAlignment="1">
      <alignment vertical="center"/>
    </xf>
    <xf numFmtId="0" fontId="0" fillId="2" borderId="7" xfId="3" applyNumberFormat="1" applyFont="1" applyFill="1" applyBorder="1" applyAlignment="1">
      <alignment vertical="center"/>
    </xf>
    <xf numFmtId="0" fontId="0" fillId="13" borderId="0" xfId="3" applyNumberFormat="1" applyFont="1" applyFill="1" applyBorder="1" applyAlignment="1">
      <alignment wrapText="1"/>
    </xf>
    <xf numFmtId="0" fontId="0" fillId="12" borderId="0" xfId="3" applyNumberFormat="1" applyFont="1" applyFill="1" applyBorder="1" applyAlignment="1">
      <alignment wrapText="1"/>
    </xf>
    <xf numFmtId="0" fontId="9" fillId="1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/>
    <xf numFmtId="0" fontId="9" fillId="2" borderId="1" xfId="3" applyFont="1" applyFill="1" applyBorder="1" applyAlignment="1">
      <alignment vertical="center"/>
    </xf>
    <xf numFmtId="0" fontId="1" fillId="2" borderId="0" xfId="3" applyFill="1" applyBorder="1"/>
    <xf numFmtId="0" fontId="15" fillId="2" borderId="0" xfId="3" applyNumberFormat="1" applyFont="1" applyFill="1" applyBorder="1" applyAlignment="1">
      <alignment wrapText="1"/>
    </xf>
    <xf numFmtId="165" fontId="0" fillId="12" borderId="0" xfId="3" applyNumberFormat="1" applyFont="1" applyFill="1" applyBorder="1" applyAlignment="1"/>
    <xf numFmtId="0" fontId="0" fillId="2" borderId="0" xfId="3" applyNumberFormat="1" applyFont="1" applyFill="1" applyBorder="1" applyAlignment="1"/>
    <xf numFmtId="0" fontId="9" fillId="2" borderId="7" xfId="3" applyFont="1" applyFill="1" applyBorder="1" applyAlignment="1">
      <alignment vertical="center"/>
    </xf>
    <xf numFmtId="0" fontId="15" fillId="2" borderId="0" xfId="3" applyNumberFormat="1" applyFont="1" applyFill="1" applyAlignment="1"/>
    <xf numFmtId="0" fontId="9" fillId="2" borderId="16" xfId="3" applyFont="1" applyFill="1" applyBorder="1"/>
    <xf numFmtId="0" fontId="9" fillId="2" borderId="1" xfId="3" applyFont="1" applyFill="1" applyBorder="1"/>
    <xf numFmtId="0" fontId="9" fillId="2" borderId="9" xfId="3" applyFont="1" applyFill="1" applyBorder="1" applyAlignment="1">
      <alignment vertical="center"/>
    </xf>
    <xf numFmtId="165" fontId="0" fillId="2" borderId="0" xfId="3" applyNumberFormat="1" applyFont="1" applyFill="1" applyBorder="1" applyAlignment="1"/>
    <xf numFmtId="165" fontId="0" fillId="2" borderId="3" xfId="3" applyNumberFormat="1" applyFont="1" applyFill="1" applyBorder="1" applyAlignment="1"/>
    <xf numFmtId="0" fontId="9" fillId="2" borderId="0" xfId="3" applyFont="1" applyFill="1"/>
    <xf numFmtId="0" fontId="0" fillId="2" borderId="5" xfId="3" applyNumberFormat="1" applyFont="1" applyFill="1" applyBorder="1" applyAlignment="1">
      <alignment wrapText="1"/>
    </xf>
    <xf numFmtId="0" fontId="0" fillId="12" borderId="0" xfId="3" applyNumberFormat="1" applyFont="1" applyFill="1" applyAlignment="1">
      <alignment wrapText="1"/>
    </xf>
    <xf numFmtId="0" fontId="0" fillId="2" borderId="7" xfId="3" applyNumberFormat="1" applyFont="1" applyFill="1" applyBorder="1" applyAlignment="1">
      <alignment wrapText="1"/>
    </xf>
    <xf numFmtId="0" fontId="0" fillId="12" borderId="1" xfId="3" applyNumberFormat="1" applyFont="1" applyFill="1" applyBorder="1" applyAlignment="1">
      <alignment wrapText="1"/>
    </xf>
    <xf numFmtId="0" fontId="0" fillId="2" borderId="9" xfId="3" applyNumberFormat="1" applyFont="1" applyFill="1" applyBorder="1" applyAlignment="1">
      <alignment wrapText="1"/>
    </xf>
    <xf numFmtId="3" fontId="0" fillId="12" borderId="0" xfId="3" applyNumberFormat="1" applyFont="1" applyFill="1" applyBorder="1" applyAlignment="1"/>
    <xf numFmtId="3" fontId="0" fillId="12" borderId="1" xfId="3" applyNumberFormat="1" applyFont="1" applyFill="1" applyBorder="1" applyAlignment="1"/>
    <xf numFmtId="9" fontId="0" fillId="12" borderId="7" xfId="3" applyNumberFormat="1" applyFont="1" applyFill="1" applyBorder="1" applyAlignment="1"/>
    <xf numFmtId="9" fontId="0" fillId="12" borderId="9" xfId="3" applyNumberFormat="1" applyFont="1" applyFill="1" applyBorder="1" applyAlignment="1"/>
    <xf numFmtId="0" fontId="9" fillId="2" borderId="5" xfId="3" applyFont="1" applyFill="1" applyBorder="1" applyAlignment="1">
      <alignment vertical="center"/>
    </xf>
    <xf numFmtId="3" fontId="0" fillId="12" borderId="7" xfId="3" applyNumberFormat="1" applyFont="1" applyFill="1" applyBorder="1" applyAlignment="1"/>
    <xf numFmtId="3" fontId="0" fillId="2" borderId="7" xfId="3" applyNumberFormat="1" applyFont="1" applyFill="1" applyBorder="1" applyAlignment="1"/>
    <xf numFmtId="0" fontId="19" fillId="2" borderId="0" xfId="3" applyFont="1" applyFill="1" applyBorder="1" applyAlignment="1">
      <alignment vertical="center"/>
    </xf>
    <xf numFmtId="3" fontId="0" fillId="12" borderId="9" xfId="3" applyNumberFormat="1" applyFont="1" applyFill="1" applyBorder="1" applyAlignment="1"/>
    <xf numFmtId="0" fontId="1" fillId="0" borderId="0" xfId="3"/>
    <xf numFmtId="0" fontId="1" fillId="14" borderId="0" xfId="3" applyFill="1"/>
    <xf numFmtId="0" fontId="16" fillId="2" borderId="1" xfId="3" applyFont="1" applyFill="1" applyBorder="1" applyAlignment="1">
      <alignment vertical="center"/>
    </xf>
    <xf numFmtId="0" fontId="16" fillId="2" borderId="11" xfId="3" applyFont="1" applyFill="1" applyBorder="1" applyAlignment="1">
      <alignment vertical="center"/>
    </xf>
    <xf numFmtId="0" fontId="1" fillId="3" borderId="1" xfId="3" applyFont="1" applyFill="1" applyBorder="1" applyAlignment="1">
      <alignment horizontal="center"/>
    </xf>
    <xf numFmtId="0" fontId="1" fillId="14" borderId="1" xfId="3" applyFont="1" applyFill="1" applyBorder="1" applyAlignment="1">
      <alignment horizontal="center"/>
    </xf>
    <xf numFmtId="164" fontId="1" fillId="2" borderId="8" xfId="3" applyNumberFormat="1" applyFill="1" applyBorder="1" applyAlignment="1">
      <alignment vertical="center"/>
    </xf>
    <xf numFmtId="0" fontId="3" fillId="2" borderId="14" xfId="3" applyFont="1" applyFill="1" applyBorder="1"/>
    <xf numFmtId="0" fontId="1" fillId="2" borderId="0" xfId="3" applyFill="1" applyAlignment="1">
      <alignment horizontal="center"/>
    </xf>
    <xf numFmtId="0" fontId="1" fillId="2" borderId="8" xfId="3" applyFill="1" applyBorder="1"/>
    <xf numFmtId="164" fontId="1" fillId="2" borderId="0" xfId="3" applyNumberFormat="1" applyFill="1" applyAlignment="1">
      <alignment horizontal="center"/>
    </xf>
    <xf numFmtId="0" fontId="1" fillId="0" borderId="0" xfId="3" applyAlignment="1">
      <alignment horizontal="center"/>
    </xf>
    <xf numFmtId="0" fontId="1" fillId="2" borderId="1" xfId="3" applyFill="1" applyBorder="1" applyAlignment="1">
      <alignment horizontal="center"/>
    </xf>
    <xf numFmtId="164" fontId="1" fillId="2" borderId="1" xfId="3" applyNumberFormat="1" applyFill="1" applyBorder="1" applyAlignment="1">
      <alignment horizontal="center"/>
    </xf>
    <xf numFmtId="0" fontId="16" fillId="15" borderId="0" xfId="3" applyFont="1" applyFill="1" applyAlignment="1">
      <alignment vertical="center"/>
    </xf>
    <xf numFmtId="164" fontId="1" fillId="15" borderId="8" xfId="3" applyNumberFormat="1" applyFill="1" applyBorder="1" applyAlignment="1">
      <alignment vertical="center"/>
    </xf>
    <xf numFmtId="0" fontId="1" fillId="0" borderId="0" xfId="3" applyBorder="1"/>
    <xf numFmtId="0" fontId="1" fillId="2" borderId="2" xfId="3" applyFill="1" applyBorder="1" applyAlignment="1">
      <alignment horizontal="center"/>
    </xf>
    <xf numFmtId="0" fontId="1" fillId="2" borderId="1" xfId="3" applyFont="1" applyFill="1" applyBorder="1" applyAlignment="1">
      <alignment vertical="center"/>
    </xf>
    <xf numFmtId="164" fontId="1" fillId="2" borderId="10" xfId="3" applyNumberFormat="1" applyFill="1" applyBorder="1" applyAlignment="1">
      <alignment vertical="center"/>
    </xf>
    <xf numFmtId="0" fontId="1" fillId="12" borderId="1" xfId="3" applyFont="1" applyFill="1" applyBorder="1" applyAlignment="1">
      <alignment vertical="center"/>
    </xf>
    <xf numFmtId="164" fontId="1" fillId="12" borderId="10" xfId="3" applyNumberFormat="1" applyFill="1" applyBorder="1" applyAlignment="1">
      <alignment vertical="center"/>
    </xf>
    <xf numFmtId="0" fontId="16" fillId="2" borderId="10" xfId="3" applyFont="1" applyFill="1" applyBorder="1" applyAlignment="1">
      <alignment vertical="center"/>
    </xf>
    <xf numFmtId="0" fontId="1" fillId="2" borderId="9" xfId="3" applyFont="1" applyFill="1" applyBorder="1" applyAlignment="1">
      <alignment horizontal="center"/>
    </xf>
    <xf numFmtId="164" fontId="1" fillId="2" borderId="9" xfId="3" applyNumberFormat="1" applyFill="1" applyBorder="1" applyAlignment="1">
      <alignment horizontal="center"/>
    </xf>
    <xf numFmtId="0" fontId="1" fillId="0" borderId="7" xfId="3" applyBorder="1"/>
    <xf numFmtId="0" fontId="1" fillId="2" borderId="0" xfId="3" applyFill="1" applyBorder="1" applyAlignment="1">
      <alignment horizontal="center"/>
    </xf>
    <xf numFmtId="0" fontId="1" fillId="2" borderId="7" xfId="3" applyFont="1" applyFill="1" applyBorder="1" applyAlignment="1">
      <alignment horizontal="center"/>
    </xf>
    <xf numFmtId="164" fontId="1" fillId="2" borderId="8" xfId="3" applyNumberFormat="1" applyFont="1" applyFill="1" applyBorder="1" applyAlignment="1">
      <alignment vertical="center"/>
    </xf>
    <xf numFmtId="164" fontId="1" fillId="2" borderId="0" xfId="3" applyNumberFormat="1" applyFill="1" applyBorder="1" applyAlignment="1">
      <alignment horizontal="center"/>
    </xf>
    <xf numFmtId="164" fontId="1" fillId="2" borderId="6" xfId="3" applyNumberFormat="1" applyFill="1" applyBorder="1" applyAlignment="1">
      <alignment vertical="center"/>
    </xf>
    <xf numFmtId="164" fontId="1" fillId="2" borderId="15" xfId="3" applyNumberFormat="1" applyFill="1" applyBorder="1" applyAlignment="1">
      <alignment vertical="center"/>
    </xf>
    <xf numFmtId="164" fontId="1" fillId="2" borderId="14" xfId="3" applyNumberFormat="1" applyFill="1" applyBorder="1" applyAlignment="1">
      <alignment vertical="center"/>
    </xf>
    <xf numFmtId="164" fontId="1" fillId="15" borderId="14" xfId="3" applyNumberFormat="1" applyFill="1" applyBorder="1" applyAlignment="1">
      <alignment vertical="center"/>
    </xf>
    <xf numFmtId="164" fontId="1" fillId="12" borderId="16" xfId="3" applyNumberFormat="1" applyFill="1" applyBorder="1" applyAlignment="1">
      <alignment vertical="center"/>
    </xf>
    <xf numFmtId="0" fontId="16" fillId="2" borderId="16" xfId="3" applyFont="1" applyFill="1" applyBorder="1" applyAlignment="1">
      <alignment vertical="center"/>
    </xf>
    <xf numFmtId="167" fontId="1" fillId="2" borderId="0" xfId="3" applyNumberFormat="1" applyFill="1"/>
    <xf numFmtId="167" fontId="1" fillId="12" borderId="0" xfId="3" applyNumberFormat="1" applyFill="1"/>
    <xf numFmtId="0" fontId="1" fillId="16" borderId="3" xfId="3" applyFont="1" applyFill="1" applyBorder="1"/>
    <xf numFmtId="167" fontId="1" fillId="16" borderId="3" xfId="3" applyNumberFormat="1" applyFill="1" applyBorder="1"/>
    <xf numFmtId="0" fontId="1" fillId="2" borderId="12" xfId="3" applyFont="1" applyFill="1" applyBorder="1"/>
    <xf numFmtId="0" fontId="1" fillId="2" borderId="15" xfId="3" applyFill="1" applyBorder="1"/>
    <xf numFmtId="0" fontId="5" fillId="2" borderId="2" xfId="3" applyFont="1" applyFill="1" applyBorder="1"/>
    <xf numFmtId="164" fontId="1" fillId="12" borderId="8" xfId="3" applyNumberFormat="1" applyFill="1" applyBorder="1" applyAlignment="1">
      <alignment horizontal="right"/>
    </xf>
    <xf numFmtId="164" fontId="1" fillId="12" borderId="14" xfId="3" applyNumberFormat="1" applyFill="1" applyBorder="1" applyAlignment="1">
      <alignment horizontal="right"/>
    </xf>
    <xf numFmtId="164" fontId="1" fillId="2" borderId="14" xfId="3" applyNumberFormat="1" applyFill="1" applyBorder="1"/>
    <xf numFmtId="164" fontId="1" fillId="12" borderId="12" xfId="3" applyNumberFormat="1" applyFill="1" applyBorder="1" applyAlignment="1">
      <alignment horizontal="right"/>
    </xf>
    <xf numFmtId="164" fontId="1" fillId="12" borderId="13" xfId="3" applyNumberFormat="1" applyFill="1" applyBorder="1" applyAlignment="1">
      <alignment horizontal="right"/>
    </xf>
    <xf numFmtId="0" fontId="1" fillId="2" borderId="3" xfId="3" applyFont="1" applyFill="1" applyBorder="1"/>
    <xf numFmtId="164" fontId="1" fillId="7" borderId="6" xfId="3" applyNumberFormat="1" applyFill="1" applyBorder="1"/>
    <xf numFmtId="164" fontId="1" fillId="7" borderId="15" xfId="3" applyNumberFormat="1" applyFill="1" applyBorder="1"/>
    <xf numFmtId="0" fontId="3" fillId="2" borderId="11" xfId="3" applyFont="1" applyFill="1" applyBorder="1"/>
    <xf numFmtId="164" fontId="1" fillId="12" borderId="7" xfId="3" applyNumberFormat="1" applyFill="1" applyBorder="1"/>
    <xf numFmtId="164" fontId="1" fillId="2" borderId="7" xfId="3" applyNumberFormat="1" applyFill="1" applyBorder="1"/>
    <xf numFmtId="164" fontId="1" fillId="12" borderId="9" xfId="3" applyNumberFormat="1" applyFill="1" applyBorder="1"/>
    <xf numFmtId="164" fontId="1" fillId="7" borderId="11" xfId="3" applyNumberFormat="1" applyFill="1" applyBorder="1"/>
    <xf numFmtId="0" fontId="3" fillId="2" borderId="12" xfId="3" applyFont="1" applyFill="1" applyBorder="1"/>
    <xf numFmtId="0" fontId="1" fillId="2" borderId="6" xfId="3" applyFont="1" applyFill="1" applyBorder="1"/>
    <xf numFmtId="164" fontId="1" fillId="12" borderId="6" xfId="3" applyNumberFormat="1" applyFill="1" applyBorder="1"/>
    <xf numFmtId="164" fontId="1" fillId="12" borderId="8" xfId="3" applyNumberFormat="1" applyFill="1" applyBorder="1"/>
    <xf numFmtId="164" fontId="1" fillId="7" borderId="8" xfId="3" applyNumberFormat="1" applyFill="1" applyBorder="1"/>
    <xf numFmtId="164" fontId="1" fillId="2" borderId="12" xfId="3" applyNumberFormat="1" applyFill="1" applyBorder="1"/>
    <xf numFmtId="164" fontId="1" fillId="7" borderId="12" xfId="3" applyNumberFormat="1" applyFill="1" applyBorder="1"/>
    <xf numFmtId="164" fontId="1" fillId="7" borderId="5" xfId="3" applyNumberFormat="1" applyFill="1" applyBorder="1"/>
    <xf numFmtId="164" fontId="1" fillId="7" borderId="7" xfId="3" applyNumberFormat="1" applyFill="1" applyBorder="1"/>
    <xf numFmtId="164" fontId="1" fillId="2" borderId="0" xfId="3" applyNumberFormat="1" applyFill="1"/>
    <xf numFmtId="164" fontId="1" fillId="7" borderId="3" xfId="3" applyNumberFormat="1" applyFill="1" applyBorder="1"/>
    <xf numFmtId="0" fontId="1" fillId="2" borderId="0" xfId="3" applyFill="1" applyAlignment="1">
      <alignment wrapText="1"/>
    </xf>
    <xf numFmtId="0" fontId="3" fillId="2" borderId="15" xfId="3" applyFont="1" applyFill="1" applyBorder="1" applyAlignment="1">
      <alignment wrapText="1"/>
    </xf>
    <xf numFmtId="0" fontId="5" fillId="2" borderId="1" xfId="3" applyFont="1" applyFill="1" applyBorder="1"/>
    <xf numFmtId="0" fontId="5" fillId="2" borderId="9" xfId="3" applyFont="1" applyFill="1" applyBorder="1"/>
    <xf numFmtId="167" fontId="1" fillId="2" borderId="0" xfId="3" applyNumberFormat="1" applyFill="1" applyBorder="1" applyAlignment="1">
      <alignment horizontal="right"/>
    </xf>
    <xf numFmtId="167" fontId="1" fillId="2" borderId="6" xfId="3" applyNumberFormat="1" applyFill="1" applyBorder="1"/>
    <xf numFmtId="167" fontId="1" fillId="2" borderId="8" xfId="3" applyNumberFormat="1" applyFill="1" applyBorder="1"/>
    <xf numFmtId="167" fontId="1" fillId="0" borderId="0" xfId="3" applyNumberFormat="1" applyFont="1" applyFill="1" applyBorder="1" applyAlignment="1">
      <alignment horizontal="right"/>
    </xf>
    <xf numFmtId="167" fontId="1" fillId="2" borderId="10" xfId="3" applyNumberFormat="1" applyFill="1" applyBorder="1"/>
    <xf numFmtId="0" fontId="1" fillId="16" borderId="13" xfId="3" applyFont="1" applyFill="1" applyBorder="1"/>
    <xf numFmtId="167" fontId="1" fillId="16" borderId="2" xfId="3" applyNumberFormat="1" applyFill="1" applyBorder="1"/>
    <xf numFmtId="167" fontId="1" fillId="16" borderId="12" xfId="3" applyNumberFormat="1" applyFill="1" applyBorder="1"/>
    <xf numFmtId="0" fontId="3" fillId="2" borderId="15" xfId="3" applyFont="1" applyFill="1" applyBorder="1"/>
    <xf numFmtId="167" fontId="1" fillId="2" borderId="0" xfId="3" applyNumberFormat="1" applyFill="1" applyBorder="1"/>
    <xf numFmtId="167" fontId="1" fillId="2" borderId="8" xfId="3" applyNumberFormat="1" applyFill="1" applyBorder="1" applyAlignment="1">
      <alignment horizontal="right"/>
    </xf>
    <xf numFmtId="0" fontId="1" fillId="17" borderId="13" xfId="3" applyFont="1" applyFill="1" applyBorder="1"/>
    <xf numFmtId="167" fontId="1" fillId="17" borderId="2" xfId="3" applyNumberFormat="1" applyFill="1" applyBorder="1"/>
    <xf numFmtId="167" fontId="1" fillId="17" borderId="11" xfId="3" applyNumberFormat="1" applyFill="1" applyBorder="1"/>
    <xf numFmtId="0" fontId="3" fillId="18" borderId="0" xfId="3" applyFont="1" applyFill="1"/>
    <xf numFmtId="167" fontId="3" fillId="18" borderId="0" xfId="3" applyNumberFormat="1" applyFont="1" applyFill="1" applyBorder="1"/>
    <xf numFmtId="168" fontId="1" fillId="2" borderId="0" xfId="3" applyNumberFormat="1" applyFill="1"/>
    <xf numFmtId="0" fontId="1" fillId="12" borderId="8" xfId="3" applyFill="1" applyBorder="1"/>
    <xf numFmtId="0" fontId="1" fillId="12" borderId="14" xfId="3" applyFill="1" applyBorder="1"/>
    <xf numFmtId="0" fontId="1" fillId="3" borderId="8" xfId="3" applyFill="1" applyBorder="1"/>
    <xf numFmtId="0" fontId="21" fillId="12" borderId="8" xfId="3" applyFont="1" applyFill="1" applyBorder="1"/>
    <xf numFmtId="0" fontId="1" fillId="12" borderId="8" xfId="3" applyFont="1" applyFill="1" applyBorder="1"/>
    <xf numFmtId="0" fontId="21" fillId="12" borderId="14" xfId="3" applyFont="1" applyFill="1" applyBorder="1"/>
    <xf numFmtId="0" fontId="1" fillId="2" borderId="10" xfId="3" applyFont="1" applyFill="1" applyBorder="1"/>
    <xf numFmtId="0" fontId="1" fillId="12" borderId="10" xfId="3" applyFont="1" applyFill="1" applyBorder="1"/>
    <xf numFmtId="0" fontId="1" fillId="12" borderId="16" xfId="3" applyFont="1" applyFill="1" applyBorder="1"/>
    <xf numFmtId="0" fontId="1" fillId="3" borderId="10" xfId="3" applyFont="1" applyFill="1" applyBorder="1"/>
    <xf numFmtId="0" fontId="1" fillId="3" borderId="16" xfId="3" applyFill="1" applyBorder="1"/>
    <xf numFmtId="0" fontId="1" fillId="7" borderId="12" xfId="3" applyFill="1" applyBorder="1"/>
    <xf numFmtId="0" fontId="24" fillId="0" borderId="0" xfId="5">
      <alignment vertical="center"/>
    </xf>
    <xf numFmtId="0" fontId="0" fillId="0" borderId="1" xfId="5" applyNumberFormat="1" applyFont="1" applyFill="1" applyBorder="1" applyAlignment="1">
      <alignment wrapText="1"/>
    </xf>
    <xf numFmtId="0" fontId="0" fillId="19" borderId="12" xfId="5" applyNumberFormat="1" applyFont="1" applyFill="1" applyBorder="1" applyAlignment="1">
      <alignment wrapText="1"/>
    </xf>
    <xf numFmtId="0" fontId="0" fillId="19" borderId="11" xfId="5" applyNumberFormat="1" applyFont="1" applyFill="1" applyBorder="1" applyAlignment="1">
      <alignment wrapText="1"/>
    </xf>
    <xf numFmtId="0" fontId="0" fillId="17" borderId="12" xfId="5" applyNumberFormat="1" applyFont="1" applyFill="1" applyBorder="1" applyAlignment="1">
      <alignment vertical="center"/>
    </xf>
    <xf numFmtId="169" fontId="0" fillId="17" borderId="12" xfId="5" applyNumberFormat="1" applyFont="1" applyFill="1" applyBorder="1" applyAlignment="1">
      <alignment vertical="center"/>
    </xf>
    <xf numFmtId="9" fontId="0" fillId="17" borderId="12" xfId="5" applyNumberFormat="1" applyFont="1" applyFill="1" applyBorder="1" applyAlignment="1">
      <alignment vertical="center"/>
    </xf>
    <xf numFmtId="0" fontId="0" fillId="0" borderId="12" xfId="5" applyNumberFormat="1" applyFont="1" applyFill="1" applyBorder="1" applyAlignment="1">
      <alignment vertical="center"/>
    </xf>
    <xf numFmtId="170" fontId="0" fillId="0" borderId="12" xfId="5" applyNumberFormat="1" applyFont="1" applyFill="1" applyBorder="1" applyAlignment="1">
      <alignment horizontal="right" vertical="center"/>
    </xf>
    <xf numFmtId="171" fontId="0" fillId="2" borderId="12" xfId="5" applyNumberFormat="1" applyFont="1" applyFill="1" applyBorder="1" applyAlignment="1">
      <alignment vertical="center"/>
    </xf>
    <xf numFmtId="169" fontId="0" fillId="0" borderId="12" xfId="5" applyNumberFormat="1" applyFont="1" applyFill="1" applyBorder="1" applyAlignment="1">
      <alignment vertical="center"/>
    </xf>
    <xf numFmtId="0" fontId="0" fillId="0" borderId="12" xfId="5" applyNumberFormat="1" applyFont="1" applyFill="1" applyBorder="1" applyAlignment="1">
      <alignment horizontal="right" vertical="center"/>
    </xf>
    <xf numFmtId="171" fontId="0" fillId="0" borderId="12" xfId="5" applyNumberFormat="1" applyFont="1" applyFill="1" applyBorder="1" applyAlignment="1">
      <alignment vertical="center"/>
    </xf>
    <xf numFmtId="0" fontId="16" fillId="0" borderId="12" xfId="5" applyNumberFormat="1" applyFont="1" applyFill="1" applyBorder="1" applyAlignment="1">
      <alignment vertical="center"/>
    </xf>
    <xf numFmtId="171" fontId="16" fillId="0" borderId="12" xfId="5" applyNumberFormat="1" applyFont="1" applyFill="1" applyBorder="1" applyAlignment="1">
      <alignment vertical="center"/>
    </xf>
    <xf numFmtId="169" fontId="16" fillId="0" borderId="1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wrapText="1"/>
    </xf>
    <xf numFmtId="0" fontId="0" fillId="0" borderId="3" xfId="5" applyNumberFormat="1" applyFont="1" applyFill="1" applyBorder="1" applyAlignment="1">
      <alignment wrapText="1"/>
    </xf>
    <xf numFmtId="0" fontId="23" fillId="0" borderId="0" xfId="5" applyFont="1">
      <alignment vertical="center"/>
    </xf>
    <xf numFmtId="0" fontId="2" fillId="2" borderId="0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center"/>
    </xf>
    <xf numFmtId="0" fontId="1" fillId="6" borderId="10" xfId="4" applyFont="1" applyFill="1" applyBorder="1" applyAlignment="1">
      <alignment horizontal="center"/>
    </xf>
    <xf numFmtId="0" fontId="1" fillId="7" borderId="10" xfId="4" applyFont="1" applyFill="1" applyBorder="1" applyAlignment="1">
      <alignment horizontal="center"/>
    </xf>
    <xf numFmtId="0" fontId="1" fillId="7" borderId="16" xfId="4" applyFont="1" applyFill="1" applyBorder="1" applyAlignment="1">
      <alignment horizontal="center"/>
    </xf>
    <xf numFmtId="0" fontId="17" fillId="2" borderId="12" xfId="2" applyNumberFormat="1" applyFont="1" applyFill="1" applyBorder="1" applyAlignment="1" applyProtection="1">
      <alignment horizontal="center" vertical="center" wrapText="1"/>
    </xf>
    <xf numFmtId="0" fontId="20" fillId="3" borderId="16" xfId="3" applyFont="1" applyFill="1" applyBorder="1" applyAlignment="1">
      <alignment horizontal="center" vertical="center" wrapText="1"/>
    </xf>
    <xf numFmtId="0" fontId="1" fillId="3" borderId="9" xfId="3" applyFont="1" applyFill="1" applyBorder="1" applyAlignment="1">
      <alignment horizontal="center" wrapText="1"/>
    </xf>
    <xf numFmtId="0" fontId="20" fillId="14" borderId="16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22" fillId="20" borderId="0" xfId="5" applyNumberFormat="1" applyFont="1" applyFill="1" applyBorder="1" applyAlignment="1">
      <alignment horizontal="left" vertical="center"/>
    </xf>
    <xf numFmtId="0" fontId="0" fillId="7" borderId="0" xfId="5" applyFont="1" applyFill="1" applyBorder="1" applyAlignment="1">
      <alignment horizontal="center" vertical="center" wrapText="1"/>
    </xf>
  </cellXfs>
  <cellStyles count="7">
    <cellStyle name="Comma" xfId="1" builtinId="3"/>
    <cellStyle name="Excel Built-in Explanatory Text" xfId="2"/>
    <cellStyle name="Excel Built-in Normal" xfId="3"/>
    <cellStyle name="Normal" xfId="0" builtinId="0"/>
    <cellStyle name="Normal 2" xfId="4"/>
    <cellStyle name="Normal 3" xfId="5"/>
    <cellStyle name="Percent" xfId="6" builtinId="5"/>
  </cellStyles>
  <dxfs count="12">
    <dxf>
      <font>
        <b val="0"/>
        <condense val="0"/>
        <extend val="0"/>
        <color indexed="58"/>
      </font>
      <fill>
        <patternFill patternType="solid">
          <fgColor indexed="26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47"/>
          <bgColor indexed="45"/>
        </patternFill>
      </fill>
    </dxf>
    <dxf>
      <font>
        <b val="0"/>
        <condense val="0"/>
        <extend val="0"/>
        <color indexed="58"/>
      </font>
      <fill>
        <patternFill patternType="solid">
          <fgColor indexed="26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47"/>
          <bgColor indexed="45"/>
        </patternFill>
      </fill>
    </dxf>
    <dxf>
      <font>
        <b val="0"/>
        <condense val="0"/>
        <extend val="0"/>
        <color indexed="58"/>
      </font>
      <fill>
        <patternFill patternType="solid">
          <fgColor indexed="26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47"/>
          <bgColor indexed="45"/>
        </patternFill>
      </fill>
    </dxf>
    <dxf>
      <font>
        <b val="0"/>
        <condense val="0"/>
        <extend val="0"/>
        <color indexed="58"/>
      </font>
      <fill>
        <patternFill patternType="solid">
          <fgColor indexed="26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47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47"/>
          <bgColor indexed="45"/>
        </patternFill>
      </fill>
    </dxf>
    <dxf>
      <font>
        <b val="0"/>
        <condense val="0"/>
        <extend val="0"/>
        <color indexed="58"/>
      </font>
      <fill>
        <patternFill patternType="solid">
          <fgColor indexed="26"/>
          <bgColor indexed="42"/>
        </patternFill>
      </fill>
    </dxf>
    <dxf>
      <font>
        <b val="0"/>
        <condense val="0"/>
        <extend val="0"/>
        <color indexed="58"/>
      </font>
      <fill>
        <patternFill patternType="solid">
          <fgColor indexed="26"/>
          <bgColor indexed="42"/>
        </patternFill>
      </fill>
    </dxf>
    <dxf>
      <font>
        <b val="0"/>
        <condense val="0"/>
        <extend val="0"/>
        <color indexed="16"/>
      </font>
      <fill>
        <patternFill patternType="solid">
          <fgColor indexed="47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9C9C9"/>
      <rgbColor rgb="007F7F7F"/>
      <rgbColor rgb="009999FF"/>
      <rgbColor rgb="00993366"/>
      <rgbColor rgb="00E2F0D9"/>
      <rgbColor rgb="00EDEDED"/>
      <rgbColor rgb="00660066"/>
      <rgbColor rgb="00FF8080"/>
      <rgbColor rgb="000066CC"/>
      <rgbColor rgb="00BDD7EE"/>
      <rgbColor rgb="00000080"/>
      <rgbColor rgb="00FF00FF"/>
      <rgbColor rgb="00FFD966"/>
      <rgbColor rgb="0000FFFF"/>
      <rgbColor rgb="00800080"/>
      <rgbColor rgb="00C00000"/>
      <rgbColor rgb="00008080"/>
      <rgbColor rgb="000000FF"/>
      <rgbColor rgb="0000B0F0"/>
      <rgbColor rgb="00E7E6E6"/>
      <rgbColor rgb="00C6EFCE"/>
      <rgbColor rgb="00FFE699"/>
      <rgbColor rgb="0083CAFF"/>
      <rgbColor rgb="00FFC7CE"/>
      <rgbColor rgb="00DBDBDB"/>
      <rgbColor rgb="00F8CBAD"/>
      <rgbColor rgb="003366FF"/>
      <rgbColor rgb="0033CCCC"/>
      <rgbColor rgb="0092D050"/>
      <rgbColor rgb="00FFC000"/>
      <rgbColor rgb="00FF9900"/>
      <rgbColor rgb="00C55A11"/>
      <rgbColor rgb="0044546A"/>
      <rgbColor rgb="00A9D18E"/>
      <rgbColor rgb="00002060"/>
      <rgbColor rgb="0000B050"/>
      <rgbColor rgb="000061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showGridLines="0" zoomScale="75" zoomScaleNormal="75" workbookViewId="0">
      <pane ySplit="1" topLeftCell="A2" activePane="bottomLeft" state="frozen"/>
      <selection pane="bottomLeft" activeCell="E7" sqref="E7"/>
    </sheetView>
  </sheetViews>
  <sheetFormatPr defaultColWidth="12.5546875" defaultRowHeight="14.4" x14ac:dyDescent="0.3"/>
  <cols>
    <col min="1" max="1" width="21.44140625" style="1" customWidth="1"/>
    <col min="2" max="2" width="50.21875" style="1" customWidth="1"/>
    <col min="3" max="9" width="20.44140625" style="1" customWidth="1"/>
    <col min="10" max="16384" width="12.5546875" style="1"/>
  </cols>
  <sheetData>
    <row r="1" spans="1:9" x14ac:dyDescent="0.3">
      <c r="A1" s="307" t="s">
        <v>0</v>
      </c>
      <c r="B1" s="307"/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6" t="s">
        <v>7</v>
      </c>
    </row>
    <row r="2" spans="1:9" x14ac:dyDescent="0.3">
      <c r="A2" s="308" t="s">
        <v>8</v>
      </c>
      <c r="B2" s="308"/>
      <c r="C2" s="7" t="s">
        <v>1</v>
      </c>
      <c r="D2" s="7" t="s">
        <v>2</v>
      </c>
      <c r="E2" s="8" t="s">
        <v>3</v>
      </c>
      <c r="F2" s="8" t="s">
        <v>4</v>
      </c>
      <c r="G2" s="9" t="s">
        <v>5</v>
      </c>
      <c r="H2" s="10" t="s">
        <v>6</v>
      </c>
      <c r="I2" s="11" t="s">
        <v>7</v>
      </c>
    </row>
    <row r="3" spans="1:9" x14ac:dyDescent="0.3">
      <c r="A3" s="1">
        <v>3010</v>
      </c>
      <c r="B3" s="1" t="s">
        <v>9</v>
      </c>
      <c r="C3" s="12">
        <f>Budsjett_enkel!C4</f>
        <v>0</v>
      </c>
      <c r="D3" s="12">
        <f>Budsjett_enkel!D4</f>
        <v>0</v>
      </c>
      <c r="E3" s="13">
        <v>0</v>
      </c>
      <c r="F3" s="13">
        <v>-1816</v>
      </c>
      <c r="G3" s="14">
        <v>0</v>
      </c>
      <c r="H3" s="12">
        <f>D3-C3</f>
        <v>0</v>
      </c>
      <c r="I3" s="15" t="e">
        <f>H3/C3</f>
        <v>#DIV/0!</v>
      </c>
    </row>
    <row r="4" spans="1:9" x14ac:dyDescent="0.3">
      <c r="A4" s="1">
        <v>3110</v>
      </c>
      <c r="B4" s="1" t="s">
        <v>10</v>
      </c>
      <c r="C4" s="12">
        <f>Budsjett_enkel!C5</f>
        <v>1946129.4000000001</v>
      </c>
      <c r="D4" s="12">
        <f>Budsjett_enkel!D5</f>
        <v>1896979</v>
      </c>
      <c r="E4" s="13">
        <v>250000</v>
      </c>
      <c r="F4" s="13">
        <v>1966875.09</v>
      </c>
      <c r="G4" s="14">
        <v>1794242.88</v>
      </c>
      <c r="H4" s="12">
        <f>D4-C4</f>
        <v>-49150.40000000014</v>
      </c>
      <c r="I4" s="15">
        <f>H4/C4</f>
        <v>-2.5255463485624408E-2</v>
      </c>
    </row>
    <row r="5" spans="1:9" x14ac:dyDescent="0.3">
      <c r="A5" s="16" t="s">
        <v>11</v>
      </c>
      <c r="C5" s="17">
        <f t="shared" ref="C5:H5" si="0">C3+C4</f>
        <v>1946129.4000000001</v>
      </c>
      <c r="D5" s="17">
        <f t="shared" si="0"/>
        <v>1896979</v>
      </c>
      <c r="E5" s="18">
        <f t="shared" si="0"/>
        <v>250000</v>
      </c>
      <c r="F5" s="18">
        <f t="shared" si="0"/>
        <v>1965059.09</v>
      </c>
      <c r="G5" s="19">
        <f t="shared" si="0"/>
        <v>1794242.88</v>
      </c>
      <c r="H5" s="17">
        <f t="shared" si="0"/>
        <v>-49150.40000000014</v>
      </c>
      <c r="I5" s="20">
        <f>H5/C5</f>
        <v>-2.5255463485624408E-2</v>
      </c>
    </row>
    <row r="6" spans="1:9" x14ac:dyDescent="0.3">
      <c r="A6" s="16"/>
      <c r="C6" s="12"/>
      <c r="D6" s="12"/>
      <c r="E6" s="13"/>
      <c r="F6" s="13"/>
      <c r="G6" s="14"/>
      <c r="H6" s="12"/>
      <c r="I6" s="15"/>
    </row>
    <row r="7" spans="1:9" x14ac:dyDescent="0.3">
      <c r="A7" s="1">
        <v>3900</v>
      </c>
      <c r="B7" s="1" t="s">
        <v>12</v>
      </c>
      <c r="C7" s="12">
        <f>Budsjett_enkel!C7</f>
        <v>1310000</v>
      </c>
      <c r="D7" s="12">
        <f>Budsjett_enkel!D8</f>
        <v>475000</v>
      </c>
      <c r="E7" s="13">
        <v>3217818</v>
      </c>
      <c r="F7" s="13">
        <v>1336763.6299999999</v>
      </c>
      <c r="G7" s="14">
        <v>1154382.6599999999</v>
      </c>
      <c r="H7" s="12">
        <f t="shared" ref="H7:H14" si="1">D7-C7</f>
        <v>-835000</v>
      </c>
      <c r="I7" s="15">
        <f t="shared" ref="I7:I16" si="2">H7/C7</f>
        <v>-0.63740458015267176</v>
      </c>
    </row>
    <row r="8" spans="1:9" x14ac:dyDescent="0.3">
      <c r="A8" s="1">
        <v>3901</v>
      </c>
      <c r="B8" s="1" t="s">
        <v>13</v>
      </c>
      <c r="C8" s="12">
        <f>Budsjett_enkel!C8</f>
        <v>475000</v>
      </c>
      <c r="D8" s="12">
        <f>Budsjett_enkel!D9</f>
        <v>1700000</v>
      </c>
      <c r="E8" s="13">
        <v>450000</v>
      </c>
      <c r="F8" s="13">
        <v>537640</v>
      </c>
      <c r="G8" s="14">
        <v>421783</v>
      </c>
      <c r="H8" s="12">
        <f t="shared" si="1"/>
        <v>1225000</v>
      </c>
      <c r="I8" s="15">
        <f t="shared" si="2"/>
        <v>2.5789473684210527</v>
      </c>
    </row>
    <row r="9" spans="1:9" x14ac:dyDescent="0.3">
      <c r="A9" s="1">
        <v>3910</v>
      </c>
      <c r="B9" s="1" t="s">
        <v>14</v>
      </c>
      <c r="C9" s="12">
        <f>Budsjett_enkel!C9</f>
        <v>1700000</v>
      </c>
      <c r="D9" s="12">
        <f>Budsjett_enkel!D10</f>
        <v>0</v>
      </c>
      <c r="E9" s="13">
        <v>1265633</v>
      </c>
      <c r="F9" s="13">
        <v>1686177</v>
      </c>
      <c r="G9" s="14">
        <v>1687502</v>
      </c>
      <c r="H9" s="12">
        <f t="shared" si="1"/>
        <v>-1700000</v>
      </c>
      <c r="I9" s="15">
        <f t="shared" si="2"/>
        <v>-1</v>
      </c>
    </row>
    <row r="10" spans="1:9" x14ac:dyDescent="0.3">
      <c r="A10" s="1">
        <v>3911</v>
      </c>
      <c r="B10" s="1" t="s">
        <v>15</v>
      </c>
      <c r="C10" s="12">
        <f>Budsjett_enkel!C10</f>
        <v>260000</v>
      </c>
      <c r="D10" s="12">
        <f>Budsjett_enkel!D11</f>
        <v>0</v>
      </c>
      <c r="E10" s="13">
        <v>0</v>
      </c>
      <c r="F10" s="13">
        <v>66946</v>
      </c>
      <c r="G10" s="14">
        <v>546003.9</v>
      </c>
      <c r="H10" s="12">
        <f t="shared" si="1"/>
        <v>-260000</v>
      </c>
      <c r="I10" s="15">
        <f t="shared" si="2"/>
        <v>-1</v>
      </c>
    </row>
    <row r="11" spans="1:9" x14ac:dyDescent="0.3">
      <c r="A11" s="1">
        <v>3922</v>
      </c>
      <c r="B11" s="1" t="s">
        <v>16</v>
      </c>
      <c r="C11" s="12">
        <f>Budsjett_enkel!C11</f>
        <v>0</v>
      </c>
      <c r="D11" s="12">
        <f>Budsjett_enkel!D12</f>
        <v>450000</v>
      </c>
      <c r="E11" s="13"/>
      <c r="F11" s="13">
        <v>0</v>
      </c>
      <c r="G11" s="14">
        <v>8670.1</v>
      </c>
      <c r="H11" s="12">
        <f t="shared" si="1"/>
        <v>450000</v>
      </c>
      <c r="I11" s="15" t="e">
        <f t="shared" si="2"/>
        <v>#DIV/0!</v>
      </c>
    </row>
    <row r="12" spans="1:9" x14ac:dyDescent="0.3">
      <c r="A12" s="1">
        <v>3927</v>
      </c>
      <c r="B12" s="1" t="s">
        <v>17</v>
      </c>
      <c r="C12" s="12">
        <f>Budsjett_enkel!C12</f>
        <v>450000</v>
      </c>
      <c r="D12" s="12">
        <f>Budsjett_enkel!D13</f>
        <v>150000</v>
      </c>
      <c r="E12" s="13">
        <v>450000</v>
      </c>
      <c r="F12" s="13">
        <v>394580</v>
      </c>
      <c r="G12" s="14">
        <v>449284</v>
      </c>
      <c r="H12" s="12">
        <f t="shared" si="1"/>
        <v>-300000</v>
      </c>
      <c r="I12" s="15">
        <f t="shared" si="2"/>
        <v>-0.66666666666666663</v>
      </c>
    </row>
    <row r="13" spans="1:9" x14ac:dyDescent="0.3">
      <c r="A13" s="1">
        <v>3930</v>
      </c>
      <c r="B13" s="1" t="s">
        <v>18</v>
      </c>
      <c r="C13" s="12">
        <f>Budsjett_enkel!C13</f>
        <v>150000</v>
      </c>
      <c r="D13" s="12">
        <f>Budsjett_enkel!D14</f>
        <v>150000</v>
      </c>
      <c r="E13" s="13"/>
      <c r="F13" s="13">
        <v>139743.4</v>
      </c>
      <c r="G13" s="14">
        <v>184397</v>
      </c>
      <c r="H13" s="12">
        <f t="shared" si="1"/>
        <v>0</v>
      </c>
      <c r="I13" s="15">
        <f t="shared" si="2"/>
        <v>0</v>
      </c>
    </row>
    <row r="14" spans="1:9" x14ac:dyDescent="0.3">
      <c r="A14" s="1">
        <v>3950</v>
      </c>
      <c r="B14" s="1" t="s">
        <v>19</v>
      </c>
      <c r="C14" s="12">
        <f>Budsjett_enkel!C14</f>
        <v>180000</v>
      </c>
      <c r="D14" s="12">
        <f>Budsjett_enkel!D15</f>
        <v>4215000</v>
      </c>
      <c r="E14" s="13">
        <v>30800</v>
      </c>
      <c r="F14" s="13">
        <v>167300</v>
      </c>
      <c r="G14" s="14">
        <v>129006.11</v>
      </c>
      <c r="H14" s="12">
        <f t="shared" si="1"/>
        <v>4035000</v>
      </c>
      <c r="I14" s="15">
        <f t="shared" si="2"/>
        <v>22.416666666666668</v>
      </c>
    </row>
    <row r="15" spans="1:9" x14ac:dyDescent="0.3">
      <c r="A15" s="16" t="s">
        <v>20</v>
      </c>
      <c r="C15" s="21">
        <f t="shared" ref="C15:H15" si="3">SUM(C7:C14)</f>
        <v>4525000</v>
      </c>
      <c r="D15" s="21">
        <f t="shared" si="3"/>
        <v>7140000</v>
      </c>
      <c r="E15" s="22">
        <f t="shared" si="3"/>
        <v>5414251</v>
      </c>
      <c r="F15" s="22">
        <f t="shared" si="3"/>
        <v>4329150.0299999993</v>
      </c>
      <c r="G15" s="23">
        <f t="shared" si="3"/>
        <v>4581028.7700000005</v>
      </c>
      <c r="H15" s="21">
        <f t="shared" si="3"/>
        <v>2615000</v>
      </c>
      <c r="I15" s="24">
        <f t="shared" si="2"/>
        <v>0.57790055248618788</v>
      </c>
    </row>
    <row r="16" spans="1:9" x14ac:dyDescent="0.3">
      <c r="A16" s="11" t="s">
        <v>21</v>
      </c>
      <c r="B16" s="25"/>
      <c r="C16" s="21">
        <f t="shared" ref="C16:H16" si="4">C15+C5</f>
        <v>6471129.4000000004</v>
      </c>
      <c r="D16" s="21">
        <f t="shared" si="4"/>
        <v>9036979</v>
      </c>
      <c r="E16" s="22">
        <f t="shared" si="4"/>
        <v>5664251</v>
      </c>
      <c r="F16" s="22">
        <f t="shared" si="4"/>
        <v>6294209.1199999992</v>
      </c>
      <c r="G16" s="23">
        <f t="shared" si="4"/>
        <v>6375271.6500000004</v>
      </c>
      <c r="H16" s="21">
        <f t="shared" si="4"/>
        <v>2565849.5999999996</v>
      </c>
      <c r="I16" s="24">
        <f t="shared" si="2"/>
        <v>0.39650723102523638</v>
      </c>
    </row>
    <row r="17" spans="1:9" x14ac:dyDescent="0.3">
      <c r="C17" s="12"/>
      <c r="D17" s="12"/>
      <c r="E17" s="13"/>
      <c r="F17" s="13"/>
      <c r="G17" s="14"/>
      <c r="H17" s="12"/>
    </row>
    <row r="18" spans="1:9" x14ac:dyDescent="0.3">
      <c r="A18" s="308" t="s">
        <v>22</v>
      </c>
      <c r="B18" s="308"/>
      <c r="C18" s="26" t="s">
        <v>1</v>
      </c>
      <c r="D18" s="26" t="s">
        <v>2</v>
      </c>
      <c r="E18" s="27" t="s">
        <v>3</v>
      </c>
      <c r="F18" s="27" t="s">
        <v>4</v>
      </c>
      <c r="G18" s="28" t="s">
        <v>5</v>
      </c>
      <c r="H18" s="5" t="s">
        <v>6</v>
      </c>
      <c r="I18" s="6" t="s">
        <v>7</v>
      </c>
    </row>
    <row r="19" spans="1:9" x14ac:dyDescent="0.3">
      <c r="A19" s="1">
        <f>Budsjett_enkel!A19</f>
        <v>4010</v>
      </c>
      <c r="B19" s="1" t="s">
        <v>23</v>
      </c>
      <c r="C19" s="12">
        <f>Budsjett_enkel!C19</f>
        <v>358000</v>
      </c>
      <c r="D19" s="12">
        <f>Budsjett_enkel!D19</f>
        <v>328000</v>
      </c>
      <c r="E19" s="13">
        <v>305329</v>
      </c>
      <c r="F19" s="13">
        <v>354634.4</v>
      </c>
      <c r="G19" s="14">
        <v>326894.48</v>
      </c>
      <c r="H19" s="12">
        <f t="shared" ref="H19:H27" si="5">D19-C19</f>
        <v>-30000</v>
      </c>
      <c r="I19" s="15">
        <f t="shared" ref="I19:I27" si="6">H19/C19</f>
        <v>-8.3798882681564241E-2</v>
      </c>
    </row>
    <row r="20" spans="1:9" x14ac:dyDescent="0.3">
      <c r="A20" s="1">
        <f>Budsjett_enkel!A20</f>
        <v>4610</v>
      </c>
      <c r="B20" s="1" t="s">
        <v>24</v>
      </c>
      <c r="C20" s="12">
        <f>Budsjett_enkel!C20</f>
        <v>710400</v>
      </c>
      <c r="D20" s="12">
        <f>Budsjett_enkel!D20</f>
        <v>740400</v>
      </c>
      <c r="E20" s="13">
        <v>680400</v>
      </c>
      <c r="F20" s="13">
        <v>835000</v>
      </c>
      <c r="G20" s="14">
        <v>600000</v>
      </c>
      <c r="H20" s="12">
        <f t="shared" si="5"/>
        <v>30000</v>
      </c>
      <c r="I20" s="15">
        <f t="shared" si="6"/>
        <v>4.2229729729729729E-2</v>
      </c>
    </row>
    <row r="21" spans="1:9" x14ac:dyDescent="0.3">
      <c r="A21" s="1">
        <f>Budsjett_enkel!A21</f>
        <v>4615</v>
      </c>
      <c r="B21" s="1" t="s">
        <v>25</v>
      </c>
      <c r="C21" s="12">
        <f>Budsjett_enkel!C21</f>
        <v>0</v>
      </c>
      <c r="D21" s="12">
        <f>Budsjett_enkel!D21</f>
        <v>0</v>
      </c>
      <c r="E21" s="13"/>
      <c r="F21" s="13">
        <v>26493.19</v>
      </c>
      <c r="G21" s="14">
        <v>64455.79</v>
      </c>
      <c r="H21" s="12">
        <f t="shared" si="5"/>
        <v>0</v>
      </c>
      <c r="I21" s="15" t="e">
        <f t="shared" si="6"/>
        <v>#DIV/0!</v>
      </c>
    </row>
    <row r="22" spans="1:9" x14ac:dyDescent="0.3">
      <c r="A22" s="1">
        <f>Budsjett_enkel!A22</f>
        <v>4922</v>
      </c>
      <c r="B22" s="1" t="s">
        <v>16</v>
      </c>
      <c r="C22" s="12">
        <f>Budsjett_enkel!C22</f>
        <v>473776.55160000001</v>
      </c>
      <c r="D22" s="12">
        <f>Budsjett_enkel!D22</f>
        <v>493937</v>
      </c>
      <c r="E22" s="13">
        <v>483665</v>
      </c>
      <c r="F22" s="13">
        <v>309375.59999999998</v>
      </c>
      <c r="G22" s="14">
        <v>488356.53</v>
      </c>
      <c r="H22" s="12">
        <f t="shared" si="5"/>
        <v>20160.448399999994</v>
      </c>
      <c r="I22" s="15">
        <f t="shared" si="6"/>
        <v>4.2552651311922783E-2</v>
      </c>
    </row>
    <row r="23" spans="1:9" x14ac:dyDescent="0.3">
      <c r="A23" s="1">
        <f>Budsjett_enkel!A23</f>
        <v>4927</v>
      </c>
      <c r="B23" s="1" t="s">
        <v>17</v>
      </c>
      <c r="C23" s="12">
        <f>Budsjett_enkel!C23</f>
        <v>427500.00000000006</v>
      </c>
      <c r="D23" s="12">
        <f>Budsjett_enkel!D23</f>
        <v>427500</v>
      </c>
      <c r="E23" s="13">
        <v>427500</v>
      </c>
      <c r="F23" s="13">
        <v>386194</v>
      </c>
      <c r="G23" s="14">
        <v>434357</v>
      </c>
      <c r="H23" s="12">
        <f t="shared" si="5"/>
        <v>0</v>
      </c>
      <c r="I23" s="15">
        <f t="shared" si="6"/>
        <v>0</v>
      </c>
    </row>
    <row r="24" spans="1:9" x14ac:dyDescent="0.3">
      <c r="A24" s="1">
        <f>Budsjett_enkel!A24</f>
        <v>4928</v>
      </c>
      <c r="B24" s="1" t="s">
        <v>26</v>
      </c>
      <c r="C24" s="12">
        <f>Budsjett_enkel!C24</f>
        <v>325000</v>
      </c>
      <c r="D24" s="12">
        <f>Budsjett_enkel!D24</f>
        <v>325000</v>
      </c>
      <c r="E24" s="13">
        <v>300000</v>
      </c>
      <c r="F24" s="13">
        <v>293355</v>
      </c>
      <c r="G24" s="14">
        <v>257201</v>
      </c>
      <c r="H24" s="12">
        <f t="shared" si="5"/>
        <v>0</v>
      </c>
      <c r="I24" s="15">
        <f t="shared" si="6"/>
        <v>0</v>
      </c>
    </row>
    <row r="25" spans="1:9" x14ac:dyDescent="0.3">
      <c r="A25" s="1">
        <f>Budsjett_enkel!A25</f>
        <v>4929</v>
      </c>
      <c r="B25" s="1" t="s">
        <v>27</v>
      </c>
      <c r="C25" s="12">
        <f>Budsjett_enkel!C25</f>
        <v>180000</v>
      </c>
      <c r="D25" s="12">
        <f>Budsjett_enkel!D25</f>
        <v>150000</v>
      </c>
      <c r="E25" s="13"/>
      <c r="F25" s="13">
        <v>166350</v>
      </c>
      <c r="G25" s="14">
        <v>138560</v>
      </c>
      <c r="H25" s="12">
        <f t="shared" si="5"/>
        <v>-30000</v>
      </c>
      <c r="I25" s="15">
        <f t="shared" si="6"/>
        <v>-0.16666666666666666</v>
      </c>
    </row>
    <row r="26" spans="1:9" x14ac:dyDescent="0.3">
      <c r="A26" s="1">
        <f>Budsjett_enkel!A26</f>
        <v>4930</v>
      </c>
      <c r="B26" s="1" t="s">
        <v>28</v>
      </c>
      <c r="C26" s="12">
        <f>Budsjett_enkel!C26</f>
        <v>150000</v>
      </c>
      <c r="D26" s="12">
        <f>Budsjett_enkel!D26</f>
        <v>140000</v>
      </c>
      <c r="E26" s="13"/>
      <c r="F26" s="13">
        <v>13240</v>
      </c>
      <c r="G26" s="14">
        <v>227114</v>
      </c>
      <c r="H26" s="12">
        <f t="shared" si="5"/>
        <v>-10000</v>
      </c>
      <c r="I26" s="15">
        <f t="shared" si="6"/>
        <v>-6.6666666666666666E-2</v>
      </c>
    </row>
    <row r="27" spans="1:9" x14ac:dyDescent="0.3">
      <c r="A27" s="16" t="s">
        <v>29</v>
      </c>
      <c r="C27" s="17">
        <f>SUM(C19:C26)</f>
        <v>2624676.5515999999</v>
      </c>
      <c r="D27" s="17">
        <f>SUM(D19:D26)</f>
        <v>2604837</v>
      </c>
      <c r="E27" s="18">
        <f>SUM(E19:E26)</f>
        <v>2196894</v>
      </c>
      <c r="F27" s="18">
        <f>SUM(F19:F26)</f>
        <v>2384642.19</v>
      </c>
      <c r="G27" s="19">
        <f>SUM(G19:G26)</f>
        <v>2536938.7999999998</v>
      </c>
      <c r="H27" s="17">
        <f t="shared" si="5"/>
        <v>-19839.55159999989</v>
      </c>
      <c r="I27" s="20">
        <f t="shared" si="6"/>
        <v>-7.5588558094542057E-3</v>
      </c>
    </row>
    <row r="28" spans="1:9" x14ac:dyDescent="0.3">
      <c r="A28" s="16"/>
      <c r="C28" s="29"/>
      <c r="D28" s="29"/>
      <c r="E28" s="30"/>
      <c r="F28" s="30"/>
      <c r="G28" s="31"/>
      <c r="H28" s="29"/>
      <c r="I28" s="15"/>
    </row>
    <row r="29" spans="1:9" x14ac:dyDescent="0.3">
      <c r="A29" s="1">
        <f>Budsjett_enkel!A28</f>
        <v>5000</v>
      </c>
      <c r="B29" s="1" t="s">
        <v>30</v>
      </c>
      <c r="C29" s="12">
        <f>Budsjett_enkel!C28</f>
        <v>0</v>
      </c>
      <c r="D29" s="12">
        <f>Budsjett_enkel!D28</f>
        <v>556050</v>
      </c>
      <c r="E29" s="13">
        <v>402000</v>
      </c>
      <c r="F29" s="13"/>
      <c r="G29" s="14">
        <v>0</v>
      </c>
      <c r="H29" s="12">
        <f t="shared" ref="H29:H41" si="7">D29-C29</f>
        <v>556050</v>
      </c>
      <c r="I29" s="15" t="e">
        <f t="shared" ref="I29:I41" si="8">H29/C29</f>
        <v>#DIV/0!</v>
      </c>
    </row>
    <row r="30" spans="1:9" x14ac:dyDescent="0.3">
      <c r="A30" s="1">
        <f>Budsjett_enkel!A29</f>
        <v>5001</v>
      </c>
      <c r="B30" s="1" t="s">
        <v>31</v>
      </c>
      <c r="C30" s="12">
        <f>Budsjett_enkel!C29</f>
        <v>0</v>
      </c>
      <c r="D30" s="12">
        <f>Budsjett_enkel!D29</f>
        <v>0</v>
      </c>
      <c r="E30" s="13"/>
      <c r="F30" s="13"/>
      <c r="G30" s="14">
        <v>0</v>
      </c>
      <c r="H30" s="12">
        <f t="shared" si="7"/>
        <v>0</v>
      </c>
      <c r="I30" s="15" t="e">
        <f t="shared" si="8"/>
        <v>#DIV/0!</v>
      </c>
    </row>
    <row r="31" spans="1:9" x14ac:dyDescent="0.3">
      <c r="A31" s="1">
        <f>Budsjett_enkel!A30</f>
        <v>5002</v>
      </c>
      <c r="B31" s="1" t="s">
        <v>32</v>
      </c>
      <c r="C31" s="12">
        <f>Budsjett_enkel!C30</f>
        <v>280000</v>
      </c>
      <c r="D31" s="12">
        <f>Budsjett_enkel!D30</f>
        <v>280000</v>
      </c>
      <c r="E31" s="13">
        <v>390000</v>
      </c>
      <c r="F31" s="13">
        <v>349781.43</v>
      </c>
      <c r="G31" s="14">
        <v>352446.22</v>
      </c>
      <c r="H31" s="12">
        <f t="shared" si="7"/>
        <v>0</v>
      </c>
      <c r="I31" s="15">
        <f t="shared" si="8"/>
        <v>0</v>
      </c>
    </row>
    <row r="32" spans="1:9" x14ac:dyDescent="0.3">
      <c r="A32" s="1">
        <f>Budsjett_enkel!A31</f>
        <v>5010</v>
      </c>
      <c r="B32" s="1" t="s">
        <v>33</v>
      </c>
      <c r="C32" s="12">
        <f>Budsjett_enkel!C31</f>
        <v>556050</v>
      </c>
      <c r="D32" s="12">
        <f>Budsjett_enkel!D31</f>
        <v>0</v>
      </c>
      <c r="E32" s="13"/>
      <c r="F32" s="13">
        <v>611199.1</v>
      </c>
      <c r="G32" s="14">
        <v>631975.57999999996</v>
      </c>
      <c r="H32" s="12">
        <f t="shared" si="7"/>
        <v>-556050</v>
      </c>
      <c r="I32" s="15">
        <f t="shared" si="8"/>
        <v>-1</v>
      </c>
    </row>
    <row r="33" spans="1:9" x14ac:dyDescent="0.3">
      <c r="A33" s="1">
        <f>Budsjett_enkel!A32</f>
        <v>5190</v>
      </c>
      <c r="B33" s="1" t="s">
        <v>34</v>
      </c>
      <c r="C33" s="12">
        <f>Budsjett_enkel!C32</f>
        <v>56717.1</v>
      </c>
      <c r="D33" s="12">
        <f>Budsjett_enkel!D32</f>
        <v>56717</v>
      </c>
      <c r="E33" s="13">
        <v>42840</v>
      </c>
      <c r="F33" s="13">
        <v>68034.25</v>
      </c>
      <c r="G33" s="14">
        <v>70248</v>
      </c>
      <c r="H33" s="12">
        <f t="shared" si="7"/>
        <v>-9.9999999998544808E-2</v>
      </c>
      <c r="I33" s="15">
        <f t="shared" si="8"/>
        <v>-1.7631366906725628E-6</v>
      </c>
    </row>
    <row r="34" spans="1:9" x14ac:dyDescent="0.3">
      <c r="A34" s="1">
        <f>Budsjett_enkel!A33</f>
        <v>5240</v>
      </c>
      <c r="B34" s="1" t="s">
        <v>35</v>
      </c>
      <c r="C34" s="12">
        <f>Budsjett_enkel!C33</f>
        <v>0</v>
      </c>
      <c r="D34" s="12">
        <f>Budsjett_enkel!D33</f>
        <v>0</v>
      </c>
      <c r="E34" s="13"/>
      <c r="F34" s="13"/>
      <c r="G34" s="14">
        <v>0</v>
      </c>
      <c r="H34" s="12">
        <f t="shared" si="7"/>
        <v>0</v>
      </c>
      <c r="I34" s="15" t="e">
        <f t="shared" si="8"/>
        <v>#DIV/0!</v>
      </c>
    </row>
    <row r="35" spans="1:9" x14ac:dyDescent="0.3">
      <c r="A35" s="1">
        <f>Budsjett_enkel!A34</f>
        <v>5280</v>
      </c>
      <c r="B35" s="1" t="s">
        <v>36</v>
      </c>
      <c r="C35" s="12">
        <f>Budsjett_enkel!C34</f>
        <v>0</v>
      </c>
      <c r="D35" s="12">
        <f>Budsjett_enkel!D34</f>
        <v>0</v>
      </c>
      <c r="E35" s="13"/>
      <c r="F35" s="13"/>
      <c r="G35" s="14">
        <v>0</v>
      </c>
      <c r="H35" s="12">
        <f t="shared" si="7"/>
        <v>0</v>
      </c>
      <c r="I35" s="15" t="e">
        <f t="shared" si="8"/>
        <v>#DIV/0!</v>
      </c>
    </row>
    <row r="36" spans="1:9" x14ac:dyDescent="0.3">
      <c r="A36" s="1">
        <f>Budsjett_enkel!A35</f>
        <v>5410</v>
      </c>
      <c r="B36" s="1" t="s">
        <v>37</v>
      </c>
      <c r="C36" s="12">
        <f>Budsjett_enkel!C35</f>
        <v>81714.082500000004</v>
      </c>
      <c r="D36" s="12">
        <f>Budsjett_enkel!D35</f>
        <v>81714</v>
      </c>
      <c r="E36" s="13">
        <v>65260</v>
      </c>
      <c r="F36" s="13">
        <v>88427.11</v>
      </c>
      <c r="G36" s="14">
        <v>90131</v>
      </c>
      <c r="H36" s="12">
        <f t="shared" si="7"/>
        <v>-8.2500000004074536E-2</v>
      </c>
      <c r="I36" s="15">
        <f t="shared" si="8"/>
        <v>-1.0096178954719895E-6</v>
      </c>
    </row>
    <row r="37" spans="1:9" x14ac:dyDescent="0.3">
      <c r="A37" s="1">
        <f>Budsjett_enkel!A36</f>
        <v>5411</v>
      </c>
      <c r="B37" s="1" t="s">
        <v>38</v>
      </c>
      <c r="C37" s="12">
        <f>Budsjett_enkel!C36</f>
        <v>0</v>
      </c>
      <c r="D37" s="12">
        <f>Budsjett_enkel!D36</f>
        <v>0</v>
      </c>
      <c r="E37" s="13"/>
      <c r="F37" s="13">
        <v>9592.83</v>
      </c>
      <c r="G37" s="14">
        <v>9906</v>
      </c>
      <c r="H37" s="12">
        <f t="shared" si="7"/>
        <v>0</v>
      </c>
      <c r="I37" s="15" t="e">
        <f t="shared" si="8"/>
        <v>#DIV/0!</v>
      </c>
    </row>
    <row r="38" spans="1:9" x14ac:dyDescent="0.3">
      <c r="A38" s="1">
        <f>Budsjett_enkel!A37</f>
        <v>5950</v>
      </c>
      <c r="B38" s="1" t="s">
        <v>39</v>
      </c>
      <c r="C38" s="12">
        <f>Budsjett_enkel!C37</f>
        <v>2000</v>
      </c>
      <c r="D38" s="12">
        <f>Budsjett_enkel!D37</f>
        <v>0</v>
      </c>
      <c r="E38" s="13"/>
      <c r="F38" s="13">
        <v>1091</v>
      </c>
      <c r="G38" s="14">
        <v>0</v>
      </c>
      <c r="H38" s="12">
        <f t="shared" si="7"/>
        <v>-2000</v>
      </c>
      <c r="I38" s="15">
        <f t="shared" si="8"/>
        <v>-1</v>
      </c>
    </row>
    <row r="39" spans="1:9" x14ac:dyDescent="0.3">
      <c r="A39" s="1">
        <f>Budsjett_enkel!A38</f>
        <v>5955</v>
      </c>
      <c r="B39" s="1" t="s">
        <v>40</v>
      </c>
      <c r="C39" s="12">
        <f>Budsjett_enkel!C38</f>
        <v>23482.5</v>
      </c>
      <c r="D39" s="12">
        <f>Budsjett_enkel!D38</f>
        <v>23483</v>
      </c>
      <c r="E39" s="13">
        <v>20100</v>
      </c>
      <c r="F39" s="13">
        <v>17267.849999999999</v>
      </c>
      <c r="G39" s="14">
        <v>8310.67</v>
      </c>
      <c r="H39" s="12">
        <f t="shared" si="7"/>
        <v>0.5</v>
      </c>
      <c r="I39" s="15">
        <f t="shared" si="8"/>
        <v>2.1292451825827744E-5</v>
      </c>
    </row>
    <row r="40" spans="1:9" x14ac:dyDescent="0.3">
      <c r="A40" s="1">
        <f>Budsjett_enkel!A39</f>
        <v>5999</v>
      </c>
      <c r="B40" s="1" t="s">
        <v>41</v>
      </c>
      <c r="C40" s="12">
        <f>Budsjett_enkel!C39</f>
        <v>0</v>
      </c>
      <c r="D40" s="12">
        <f>Budsjett_enkel!D39</f>
        <v>0</v>
      </c>
      <c r="E40" s="13"/>
      <c r="F40" s="13"/>
      <c r="G40" s="14">
        <v>628.80999999999995</v>
      </c>
      <c r="H40" s="12">
        <f t="shared" si="7"/>
        <v>0</v>
      </c>
      <c r="I40" s="15" t="e">
        <f t="shared" si="8"/>
        <v>#DIV/0!</v>
      </c>
    </row>
    <row r="41" spans="1:9" x14ac:dyDescent="0.3">
      <c r="A41" s="16" t="s">
        <v>42</v>
      </c>
      <c r="C41" s="17">
        <f>SUM(C29:C40)</f>
        <v>999963.6825</v>
      </c>
      <c r="D41" s="17">
        <f>SUM(D29:D40)</f>
        <v>997964</v>
      </c>
      <c r="E41" s="18">
        <f>SUM(E29:E40)</f>
        <v>920200</v>
      </c>
      <c r="F41" s="18">
        <f>SUM(F29:F40)</f>
        <v>1145393.5700000003</v>
      </c>
      <c r="G41" s="19">
        <f>SUM(G29:G40)</f>
        <v>1163646.2799999998</v>
      </c>
      <c r="H41" s="17">
        <f t="shared" si="7"/>
        <v>-1999.6824999999953</v>
      </c>
      <c r="I41" s="20">
        <f t="shared" si="8"/>
        <v>-1.9997551261067875E-3</v>
      </c>
    </row>
    <row r="42" spans="1:9" x14ac:dyDescent="0.3">
      <c r="C42" s="12"/>
      <c r="D42" s="12"/>
      <c r="E42" s="32"/>
      <c r="F42" s="32"/>
      <c r="G42" s="33"/>
      <c r="H42" s="12"/>
      <c r="I42" s="15"/>
    </row>
    <row r="43" spans="1:9" x14ac:dyDescent="0.3">
      <c r="A43" s="1">
        <v>6300</v>
      </c>
      <c r="B43" s="1" t="s">
        <v>43</v>
      </c>
      <c r="C43" s="12">
        <f>Budsjett_enkel!C41</f>
        <v>122400</v>
      </c>
      <c r="D43" s="12">
        <f>Budsjett_enkel!D41</f>
        <v>122400</v>
      </c>
      <c r="E43" s="32">
        <v>120000</v>
      </c>
      <c r="F43" s="32">
        <v>122880</v>
      </c>
      <c r="G43" s="33">
        <v>388162.67</v>
      </c>
      <c r="H43" s="12">
        <f t="shared" ref="H43:H75" si="9">D43-C43</f>
        <v>0</v>
      </c>
      <c r="I43" s="15">
        <f t="shared" ref="I43:I75" si="10">H43/C43</f>
        <v>0</v>
      </c>
    </row>
    <row r="44" spans="1:9" x14ac:dyDescent="0.3">
      <c r="A44" s="1">
        <v>6301</v>
      </c>
      <c r="B44" s="1" t="s">
        <v>44</v>
      </c>
      <c r="C44" s="12">
        <f>Budsjett_enkel!C42</f>
        <v>134000</v>
      </c>
      <c r="D44" s="12">
        <f>Budsjett_enkel!D42</f>
        <v>0</v>
      </c>
      <c r="E44" s="32"/>
      <c r="F44" s="32">
        <v>149730</v>
      </c>
      <c r="G44" s="33">
        <v>0</v>
      </c>
      <c r="H44" s="12">
        <f t="shared" si="9"/>
        <v>-134000</v>
      </c>
      <c r="I44" s="15">
        <f t="shared" si="10"/>
        <v>-1</v>
      </c>
    </row>
    <row r="45" spans="1:9" x14ac:dyDescent="0.3">
      <c r="A45" s="1">
        <v>6340</v>
      </c>
      <c r="B45" s="1" t="s">
        <v>45</v>
      </c>
      <c r="C45" s="12">
        <f>Budsjett_enkel!C43</f>
        <v>0</v>
      </c>
      <c r="D45" s="12">
        <f>Budsjett_enkel!D43</f>
        <v>0</v>
      </c>
      <c r="E45" s="32"/>
      <c r="F45" s="32">
        <v>0</v>
      </c>
      <c r="G45" s="33">
        <v>0</v>
      </c>
      <c r="H45" s="12">
        <f t="shared" si="9"/>
        <v>0</v>
      </c>
      <c r="I45" s="15" t="e">
        <f t="shared" si="10"/>
        <v>#DIV/0!</v>
      </c>
    </row>
    <row r="46" spans="1:9" x14ac:dyDescent="0.3">
      <c r="A46" s="1">
        <v>6430</v>
      </c>
      <c r="B46" s="1" t="s">
        <v>46</v>
      </c>
      <c r="C46" s="12">
        <f>Budsjett_enkel!C44</f>
        <v>30000</v>
      </c>
      <c r="D46" s="12">
        <f>Budsjett_enkel!D44</f>
        <v>30000</v>
      </c>
      <c r="E46" s="32">
        <v>30000</v>
      </c>
      <c r="F46" s="32">
        <v>29413</v>
      </c>
      <c r="G46" s="33">
        <v>26347.8</v>
      </c>
      <c r="H46" s="12">
        <f t="shared" si="9"/>
        <v>0</v>
      </c>
      <c r="I46" s="15">
        <f t="shared" si="10"/>
        <v>0</v>
      </c>
    </row>
    <row r="47" spans="1:9" x14ac:dyDescent="0.3">
      <c r="A47" s="1">
        <v>6550</v>
      </c>
      <c r="B47" s="1" t="s">
        <v>47</v>
      </c>
      <c r="C47" s="12">
        <f>Budsjett_enkel!C45</f>
        <v>5000</v>
      </c>
      <c r="D47" s="12">
        <f>Budsjett_enkel!D45</f>
        <v>15000</v>
      </c>
      <c r="E47" s="32"/>
      <c r="F47" s="32">
        <v>1410.57</v>
      </c>
      <c r="G47" s="33">
        <v>864</v>
      </c>
      <c r="H47" s="12">
        <f t="shared" si="9"/>
        <v>10000</v>
      </c>
      <c r="I47" s="15">
        <f t="shared" si="10"/>
        <v>2</v>
      </c>
    </row>
    <row r="48" spans="1:9" x14ac:dyDescent="0.3">
      <c r="A48" s="1">
        <v>6560</v>
      </c>
      <c r="B48" s="1" t="s">
        <v>48</v>
      </c>
      <c r="C48" s="12">
        <f>Budsjett_enkel!C46</f>
        <v>0</v>
      </c>
      <c r="D48" s="12">
        <f>Budsjett_enkel!D46</f>
        <v>0</v>
      </c>
      <c r="E48" s="32"/>
      <c r="F48" s="32">
        <v>29384.799999999999</v>
      </c>
      <c r="G48" s="33">
        <v>11120.35</v>
      </c>
      <c r="H48" s="12">
        <f t="shared" si="9"/>
        <v>0</v>
      </c>
      <c r="I48" s="15" t="e">
        <f t="shared" si="10"/>
        <v>#DIV/0!</v>
      </c>
    </row>
    <row r="49" spans="1:9" x14ac:dyDescent="0.3">
      <c r="A49" s="1">
        <v>6700</v>
      </c>
      <c r="B49" s="1" t="s">
        <v>49</v>
      </c>
      <c r="C49" s="12">
        <f>Budsjett_enkel!C47</f>
        <v>200000</v>
      </c>
      <c r="D49" s="12">
        <f>Budsjett_enkel!D47</f>
        <v>200000</v>
      </c>
      <c r="E49" s="32">
        <v>185000</v>
      </c>
      <c r="F49" s="32">
        <v>233749</v>
      </c>
      <c r="G49" s="33">
        <v>252827</v>
      </c>
      <c r="H49" s="12">
        <f t="shared" si="9"/>
        <v>0</v>
      </c>
      <c r="I49" s="15">
        <f t="shared" si="10"/>
        <v>0</v>
      </c>
    </row>
    <row r="50" spans="1:9" x14ac:dyDescent="0.3">
      <c r="A50" s="1">
        <v>6720</v>
      </c>
      <c r="B50" s="1" t="s">
        <v>50</v>
      </c>
      <c r="C50" s="12">
        <f>Budsjett_enkel!C48</f>
        <v>0</v>
      </c>
      <c r="D50" s="12">
        <f>Budsjett_enkel!D48</f>
        <v>0</v>
      </c>
      <c r="E50" s="32"/>
      <c r="F50" s="32">
        <v>0</v>
      </c>
      <c r="G50" s="33">
        <v>109.22</v>
      </c>
      <c r="H50" s="12">
        <f t="shared" si="9"/>
        <v>0</v>
      </c>
      <c r="I50" s="15" t="e">
        <f t="shared" si="10"/>
        <v>#DIV/0!</v>
      </c>
    </row>
    <row r="51" spans="1:9" x14ac:dyDescent="0.3">
      <c r="A51" s="1">
        <v>6800</v>
      </c>
      <c r="B51" s="1" t="s">
        <v>51</v>
      </c>
      <c r="C51" s="12">
        <f>Budsjett_enkel!C49</f>
        <v>15000</v>
      </c>
      <c r="D51" s="12">
        <f>Budsjett_enkel!D49</f>
        <v>25000</v>
      </c>
      <c r="E51" s="32">
        <v>25000</v>
      </c>
      <c r="F51" s="32">
        <v>15285.79</v>
      </c>
      <c r="G51" s="33">
        <v>6449.9</v>
      </c>
      <c r="H51" s="12">
        <f t="shared" si="9"/>
        <v>10000</v>
      </c>
      <c r="I51" s="15">
        <f t="shared" si="10"/>
        <v>0.66666666666666663</v>
      </c>
    </row>
    <row r="52" spans="1:9" x14ac:dyDescent="0.3">
      <c r="A52" s="1">
        <v>6810</v>
      </c>
      <c r="B52" s="1" t="s">
        <v>52</v>
      </c>
      <c r="C52" s="12">
        <f>Budsjett_enkel!C50</f>
        <v>80000</v>
      </c>
      <c r="D52" s="12">
        <f>Budsjett_enkel!D50</f>
        <v>70000</v>
      </c>
      <c r="E52" s="32">
        <v>65000</v>
      </c>
      <c r="F52" s="32">
        <v>102702.19</v>
      </c>
      <c r="G52" s="33">
        <v>333594.69</v>
      </c>
      <c r="H52" s="12">
        <f t="shared" si="9"/>
        <v>-10000</v>
      </c>
      <c r="I52" s="15">
        <f t="shared" si="10"/>
        <v>-0.125</v>
      </c>
    </row>
    <row r="53" spans="1:9" x14ac:dyDescent="0.3">
      <c r="A53" s="1">
        <v>6820</v>
      </c>
      <c r="B53" s="1" t="s">
        <v>53</v>
      </c>
      <c r="C53" s="12">
        <f>Budsjett_enkel!C51</f>
        <v>120000</v>
      </c>
      <c r="D53" s="12">
        <f>Budsjett_enkel!D51</f>
        <v>120000</v>
      </c>
      <c r="E53" s="32">
        <v>158000</v>
      </c>
      <c r="F53" s="32">
        <v>116372</v>
      </c>
      <c r="G53" s="33">
        <v>162898.91</v>
      </c>
      <c r="H53" s="12">
        <f t="shared" si="9"/>
        <v>0</v>
      </c>
      <c r="I53" s="15">
        <f t="shared" si="10"/>
        <v>0</v>
      </c>
    </row>
    <row r="54" spans="1:9" x14ac:dyDescent="0.3">
      <c r="A54" s="1">
        <v>6840</v>
      </c>
      <c r="B54" s="1" t="s">
        <v>54</v>
      </c>
      <c r="C54" s="12">
        <f>Budsjett_enkel!C52</f>
        <v>0</v>
      </c>
      <c r="D54" s="12">
        <f>Budsjett_enkel!D52</f>
        <v>0</v>
      </c>
      <c r="E54" s="32"/>
      <c r="F54" s="32">
        <v>0</v>
      </c>
      <c r="G54" s="33">
        <v>0</v>
      </c>
      <c r="H54" s="12">
        <f t="shared" si="9"/>
        <v>0</v>
      </c>
      <c r="I54" s="15" t="e">
        <f t="shared" si="10"/>
        <v>#DIV/0!</v>
      </c>
    </row>
    <row r="55" spans="1:9" x14ac:dyDescent="0.3">
      <c r="A55" s="1">
        <v>6860</v>
      </c>
      <c r="B55" s="1" t="s">
        <v>55</v>
      </c>
      <c r="C55" s="12">
        <f>Budsjett_enkel!C53</f>
        <v>0</v>
      </c>
      <c r="D55" s="12">
        <f>Budsjett_enkel!D53</f>
        <v>0</v>
      </c>
      <c r="E55" s="32"/>
      <c r="F55" s="32">
        <v>46172.72</v>
      </c>
      <c r="G55" s="33">
        <v>59573.120000000003</v>
      </c>
      <c r="H55" s="12">
        <f t="shared" si="9"/>
        <v>0</v>
      </c>
      <c r="I55" s="15" t="e">
        <f t="shared" si="10"/>
        <v>#DIV/0!</v>
      </c>
    </row>
    <row r="56" spans="1:9" x14ac:dyDescent="0.3">
      <c r="A56" s="1">
        <v>6868</v>
      </c>
      <c r="B56" s="1" t="s">
        <v>56</v>
      </c>
      <c r="C56" s="12">
        <f>Budsjett_enkel!C54</f>
        <v>185732.5</v>
      </c>
      <c r="D56" s="12">
        <f>Budsjett_enkel!D54</f>
        <v>184328</v>
      </c>
      <c r="E56" s="32">
        <v>180410</v>
      </c>
      <c r="F56" s="34">
        <v>169858.84</v>
      </c>
      <c r="G56" s="33">
        <v>229069.07</v>
      </c>
      <c r="H56" s="12">
        <f t="shared" si="9"/>
        <v>-1404.5</v>
      </c>
      <c r="I56" s="15">
        <f t="shared" si="10"/>
        <v>-7.5619506548396213E-3</v>
      </c>
    </row>
    <row r="57" spans="1:9" x14ac:dyDescent="0.3">
      <c r="A57" s="1">
        <v>6900</v>
      </c>
      <c r="B57" s="1" t="s">
        <v>57</v>
      </c>
      <c r="C57" s="12">
        <f>Budsjett_enkel!C55</f>
        <v>10000</v>
      </c>
      <c r="D57" s="12">
        <f>Budsjett_enkel!D55</f>
        <v>10000</v>
      </c>
      <c r="E57" s="32">
        <v>10000</v>
      </c>
      <c r="F57" s="32">
        <v>8454.64</v>
      </c>
      <c r="G57" s="33">
        <v>6998.11</v>
      </c>
      <c r="H57" s="12">
        <f t="shared" si="9"/>
        <v>0</v>
      </c>
      <c r="I57" s="15">
        <f t="shared" si="10"/>
        <v>0</v>
      </c>
    </row>
    <row r="58" spans="1:9" x14ac:dyDescent="0.3">
      <c r="A58" s="1">
        <v>6940</v>
      </c>
      <c r="B58" s="1" t="s">
        <v>58</v>
      </c>
      <c r="C58" s="12">
        <f>Budsjett_enkel!C56</f>
        <v>90000</v>
      </c>
      <c r="D58" s="12">
        <f>Budsjett_enkel!D56</f>
        <v>90000</v>
      </c>
      <c r="E58" s="32">
        <v>90000</v>
      </c>
      <c r="F58" s="32">
        <v>85446.41</v>
      </c>
      <c r="G58" s="33">
        <v>88951.05</v>
      </c>
      <c r="H58" s="12">
        <f t="shared" si="9"/>
        <v>0</v>
      </c>
      <c r="I58" s="15">
        <f t="shared" si="10"/>
        <v>0</v>
      </c>
    </row>
    <row r="59" spans="1:9" x14ac:dyDescent="0.3">
      <c r="A59" s="1">
        <v>6960</v>
      </c>
      <c r="B59" s="1" t="s">
        <v>59</v>
      </c>
      <c r="C59" s="12">
        <f>Budsjett_enkel!C57</f>
        <v>10000</v>
      </c>
      <c r="D59" s="12">
        <f>Budsjett_enkel!D57</f>
        <v>10000</v>
      </c>
      <c r="E59" s="32"/>
      <c r="F59" s="32">
        <v>9972.4</v>
      </c>
      <c r="G59" s="33">
        <v>5627.8</v>
      </c>
      <c r="H59" s="12">
        <f t="shared" si="9"/>
        <v>0</v>
      </c>
      <c r="I59" s="15">
        <f t="shared" si="10"/>
        <v>0</v>
      </c>
    </row>
    <row r="60" spans="1:9" x14ac:dyDescent="0.3">
      <c r="A60" s="1">
        <v>7000</v>
      </c>
      <c r="B60" s="1" t="s">
        <v>60</v>
      </c>
      <c r="C60" s="12">
        <f>Budsjett_enkel!C58</f>
        <v>2000</v>
      </c>
      <c r="D60" s="12">
        <f>Budsjett_enkel!D58</f>
        <v>0</v>
      </c>
      <c r="E60" s="32"/>
      <c r="F60" s="32">
        <v>1517.64</v>
      </c>
      <c r="G60" s="33">
        <v>1742.13</v>
      </c>
      <c r="H60" s="12">
        <f t="shared" si="9"/>
        <v>-2000</v>
      </c>
      <c r="I60" s="15">
        <f t="shared" si="10"/>
        <v>-1</v>
      </c>
    </row>
    <row r="61" spans="1:9" x14ac:dyDescent="0.3">
      <c r="A61" s="1">
        <v>7040</v>
      </c>
      <c r="B61" s="1" t="s">
        <v>61</v>
      </c>
      <c r="C61" s="12">
        <f>Budsjett_enkel!C59</f>
        <v>7500</v>
      </c>
      <c r="D61" s="12">
        <f>Budsjett_enkel!D59</f>
        <v>7500</v>
      </c>
      <c r="E61" s="32">
        <v>3500</v>
      </c>
      <c r="F61" s="32">
        <v>7008.85</v>
      </c>
      <c r="G61" s="33">
        <v>1102.5999999999999</v>
      </c>
      <c r="H61" s="12">
        <f t="shared" si="9"/>
        <v>0</v>
      </c>
      <c r="I61" s="15">
        <f t="shared" si="10"/>
        <v>0</v>
      </c>
    </row>
    <row r="62" spans="1:9" x14ac:dyDescent="0.3">
      <c r="A62" s="1">
        <v>7105</v>
      </c>
      <c r="B62" s="1" t="s">
        <v>62</v>
      </c>
      <c r="C62" s="12">
        <f>Budsjett_enkel!C60</f>
        <v>0</v>
      </c>
      <c r="D62" s="12">
        <f>Budsjett_enkel!D60</f>
        <v>0</v>
      </c>
      <c r="E62" s="32"/>
      <c r="F62" s="32">
        <v>0</v>
      </c>
      <c r="G62" s="33">
        <v>0</v>
      </c>
      <c r="H62" s="12">
        <f t="shared" si="9"/>
        <v>0</v>
      </c>
      <c r="I62" s="15" t="e">
        <f t="shared" si="10"/>
        <v>#DIV/0!</v>
      </c>
    </row>
    <row r="63" spans="1:9" x14ac:dyDescent="0.3">
      <c r="A63" s="1">
        <v>7140</v>
      </c>
      <c r="B63" s="1" t="s">
        <v>63</v>
      </c>
      <c r="C63" s="12">
        <f>Budsjett_enkel!C61</f>
        <v>436868.7</v>
      </c>
      <c r="D63" s="12">
        <f>Budsjett_enkel!D61</f>
        <v>439003</v>
      </c>
      <c r="E63" s="32">
        <v>486330</v>
      </c>
      <c r="F63" s="32">
        <v>607201.93999999994</v>
      </c>
      <c r="G63" s="33">
        <v>832496.52</v>
      </c>
      <c r="H63" s="12">
        <f t="shared" si="9"/>
        <v>2134.2999999999884</v>
      </c>
      <c r="I63" s="15">
        <f t="shared" si="10"/>
        <v>4.8854495641367495E-3</v>
      </c>
    </row>
    <row r="64" spans="1:9" x14ac:dyDescent="0.3">
      <c r="A64" s="1">
        <v>7145</v>
      </c>
      <c r="B64" s="1" t="s">
        <v>64</v>
      </c>
      <c r="C64" s="12">
        <f>Budsjett_enkel!C62</f>
        <v>424200</v>
      </c>
      <c r="D64" s="12">
        <f>Budsjett_enkel!D62</f>
        <v>424200</v>
      </c>
      <c r="E64" s="32">
        <v>322400</v>
      </c>
      <c r="F64" s="32">
        <v>373316.87</v>
      </c>
      <c r="G64" s="33">
        <v>490854.25</v>
      </c>
      <c r="H64" s="12">
        <f t="shared" si="9"/>
        <v>0</v>
      </c>
      <c r="I64" s="15">
        <f t="shared" si="10"/>
        <v>0</v>
      </c>
    </row>
    <row r="65" spans="1:9" x14ac:dyDescent="0.3">
      <c r="A65" s="1">
        <v>7360</v>
      </c>
      <c r="B65" s="1" t="s">
        <v>65</v>
      </c>
      <c r="C65" s="12">
        <f>Budsjett_enkel!C63</f>
        <v>0</v>
      </c>
      <c r="D65" s="12">
        <f>Budsjett_enkel!D63</f>
        <v>0</v>
      </c>
      <c r="E65" s="32"/>
      <c r="F65" s="32">
        <v>0</v>
      </c>
      <c r="G65" s="33">
        <v>0</v>
      </c>
      <c r="H65" s="12">
        <f t="shared" si="9"/>
        <v>0</v>
      </c>
      <c r="I65" s="15" t="e">
        <f t="shared" si="10"/>
        <v>#DIV/0!</v>
      </c>
    </row>
    <row r="66" spans="1:9" x14ac:dyDescent="0.3">
      <c r="A66" s="1">
        <v>7600</v>
      </c>
      <c r="B66" s="1" t="s">
        <v>66</v>
      </c>
      <c r="C66" s="12">
        <f>Budsjett_enkel!C64</f>
        <v>0</v>
      </c>
      <c r="D66" s="12">
        <f>Budsjett_enkel!D64</f>
        <v>0</v>
      </c>
      <c r="E66" s="32">
        <v>9000</v>
      </c>
      <c r="F66" s="32">
        <v>0</v>
      </c>
      <c r="G66" s="33">
        <v>0</v>
      </c>
      <c r="H66" s="12">
        <f t="shared" si="9"/>
        <v>0</v>
      </c>
      <c r="I66" s="15" t="e">
        <f t="shared" si="10"/>
        <v>#DIV/0!</v>
      </c>
    </row>
    <row r="67" spans="1:9" x14ac:dyDescent="0.3">
      <c r="A67" s="1">
        <v>7601</v>
      </c>
      <c r="B67" s="1" t="s">
        <v>67</v>
      </c>
      <c r="C67" s="12">
        <f>Budsjett_enkel!C65</f>
        <v>15000</v>
      </c>
      <c r="D67" s="12">
        <f>Budsjett_enkel!D65</f>
        <v>9000</v>
      </c>
      <c r="E67" s="32"/>
      <c r="F67" s="32">
        <v>15275</v>
      </c>
      <c r="G67" s="33">
        <v>15375</v>
      </c>
      <c r="H67" s="12">
        <f t="shared" si="9"/>
        <v>-6000</v>
      </c>
      <c r="I67" s="15">
        <f t="shared" si="10"/>
        <v>-0.4</v>
      </c>
    </row>
    <row r="68" spans="1:9" x14ac:dyDescent="0.3">
      <c r="A68" s="1">
        <v>7610</v>
      </c>
      <c r="B68" s="1" t="s">
        <v>68</v>
      </c>
      <c r="C68" s="12">
        <f>Budsjett_enkel!C66</f>
        <v>921000</v>
      </c>
      <c r="D68" s="12">
        <f>Budsjett_enkel!D66</f>
        <v>881000</v>
      </c>
      <c r="E68" s="32">
        <v>460500</v>
      </c>
      <c r="F68" s="32">
        <v>307449.56</v>
      </c>
      <c r="G68" s="33">
        <v>392502.12</v>
      </c>
      <c r="H68" s="12">
        <f t="shared" si="9"/>
        <v>-40000</v>
      </c>
      <c r="I68" s="15">
        <f t="shared" si="10"/>
        <v>-4.3431053203040172E-2</v>
      </c>
    </row>
    <row r="69" spans="1:9" x14ac:dyDescent="0.3">
      <c r="A69" s="1">
        <v>7612</v>
      </c>
      <c r="B69" s="1" t="s">
        <v>69</v>
      </c>
      <c r="C69" s="12">
        <f>Budsjett_enkel!C67</f>
        <v>0</v>
      </c>
      <c r="D69" s="12">
        <f>Budsjett_enkel!D67</f>
        <v>0</v>
      </c>
      <c r="E69" s="32"/>
      <c r="F69" s="32">
        <v>0</v>
      </c>
      <c r="G69" s="33">
        <v>10846</v>
      </c>
      <c r="H69" s="12">
        <f t="shared" si="9"/>
        <v>0</v>
      </c>
      <c r="I69" s="15" t="e">
        <f t="shared" si="10"/>
        <v>#DIV/0!</v>
      </c>
    </row>
    <row r="70" spans="1:9" x14ac:dyDescent="0.3">
      <c r="A70" s="1">
        <v>7620</v>
      </c>
      <c r="B70" s="1" t="s">
        <v>70</v>
      </c>
      <c r="C70" s="12">
        <f>Budsjett_enkel!C68</f>
        <v>10000</v>
      </c>
      <c r="D70" s="12">
        <f>Budsjett_enkel!D68</f>
        <v>10000</v>
      </c>
      <c r="E70" s="32">
        <v>20000</v>
      </c>
      <c r="F70" s="32">
        <v>20179.310000000001</v>
      </c>
      <c r="G70" s="33">
        <v>46643.73</v>
      </c>
      <c r="H70" s="12">
        <f t="shared" si="9"/>
        <v>0</v>
      </c>
      <c r="I70" s="15">
        <f t="shared" si="10"/>
        <v>0</v>
      </c>
    </row>
    <row r="71" spans="1:9" x14ac:dyDescent="0.3">
      <c r="A71" s="1">
        <v>7650</v>
      </c>
      <c r="B71" s="1" t="s">
        <v>71</v>
      </c>
      <c r="C71" s="12">
        <f>Budsjett_enkel!C69</f>
        <v>0</v>
      </c>
      <c r="D71" s="12">
        <f>Budsjett_enkel!D69</f>
        <v>0</v>
      </c>
      <c r="E71" s="32"/>
      <c r="F71" s="32">
        <v>0</v>
      </c>
      <c r="G71" s="33">
        <v>12324</v>
      </c>
      <c r="H71" s="12">
        <f t="shared" si="9"/>
        <v>0</v>
      </c>
      <c r="I71" s="15" t="e">
        <f t="shared" si="10"/>
        <v>#DIV/0!</v>
      </c>
    </row>
    <row r="72" spans="1:9" x14ac:dyDescent="0.3">
      <c r="A72" s="1">
        <v>7770</v>
      </c>
      <c r="B72" s="1" t="s">
        <v>72</v>
      </c>
      <c r="C72" s="12">
        <f>Budsjett_enkel!C70</f>
        <v>10000</v>
      </c>
      <c r="D72" s="12">
        <f>Budsjett_enkel!D70</f>
        <v>0</v>
      </c>
      <c r="E72" s="32"/>
      <c r="F72" s="32">
        <v>15711.14</v>
      </c>
      <c r="G72" s="33">
        <v>12063.9</v>
      </c>
      <c r="H72" s="12">
        <f t="shared" si="9"/>
        <v>-10000</v>
      </c>
      <c r="I72" s="15">
        <f t="shared" si="10"/>
        <v>-1</v>
      </c>
    </row>
    <row r="73" spans="1:9" x14ac:dyDescent="0.3">
      <c r="A73" s="1">
        <v>7801</v>
      </c>
      <c r="B73" s="1" t="s">
        <v>73</v>
      </c>
      <c r="C73" s="12">
        <f>Budsjett_enkel!C71</f>
        <v>0</v>
      </c>
      <c r="D73" s="12">
        <f>Budsjett_enkel!D71</f>
        <v>0</v>
      </c>
      <c r="E73" s="32"/>
      <c r="F73" s="32">
        <v>71.36</v>
      </c>
      <c r="G73" s="33">
        <v>0</v>
      </c>
      <c r="H73" s="12">
        <f t="shared" si="9"/>
        <v>0</v>
      </c>
      <c r="I73" s="15" t="e">
        <f t="shared" si="10"/>
        <v>#DIV/0!</v>
      </c>
    </row>
    <row r="74" spans="1:9" x14ac:dyDescent="0.3">
      <c r="A74" s="1">
        <v>7830</v>
      </c>
      <c r="B74" s="1" t="s">
        <v>74</v>
      </c>
      <c r="C74" s="12">
        <f>Budsjett_enkel!C72</f>
        <v>0</v>
      </c>
      <c r="D74" s="12">
        <f>Budsjett_enkel!D72</f>
        <v>25000</v>
      </c>
      <c r="E74" s="32">
        <v>25000</v>
      </c>
      <c r="F74" s="32">
        <v>155922.85999999999</v>
      </c>
      <c r="G74" s="33">
        <v>25579</v>
      </c>
      <c r="H74" s="12">
        <f t="shared" si="9"/>
        <v>25000</v>
      </c>
      <c r="I74" s="15" t="e">
        <f t="shared" si="10"/>
        <v>#DIV/0!</v>
      </c>
    </row>
    <row r="75" spans="1:9" x14ac:dyDescent="0.3">
      <c r="A75" s="16" t="s">
        <v>75</v>
      </c>
      <c r="C75" s="21">
        <f>SUM(C43:C74)</f>
        <v>2828701.2</v>
      </c>
      <c r="D75" s="21">
        <f>SUM(D43:D74)</f>
        <v>2672431</v>
      </c>
      <c r="E75" s="35">
        <f>SUM(E43:E74)</f>
        <v>2190140</v>
      </c>
      <c r="F75" s="35">
        <f>SUM(F43:F74)</f>
        <v>2624486.8899999997</v>
      </c>
      <c r="G75" s="36">
        <f>SUM(G43:G74)</f>
        <v>3414122.9400000004</v>
      </c>
      <c r="H75" s="21">
        <f t="shared" si="9"/>
        <v>-156270.20000000019</v>
      </c>
      <c r="I75" s="24">
        <f t="shared" si="10"/>
        <v>-5.5244505853074964E-2</v>
      </c>
    </row>
    <row r="76" spans="1:9" x14ac:dyDescent="0.3">
      <c r="A76" s="16" t="s">
        <v>76</v>
      </c>
      <c r="C76" s="17">
        <f>C27+C41+C75</f>
        <v>6453341.4341000002</v>
      </c>
      <c r="D76" s="17">
        <f>D27+D41+D75</f>
        <v>6275232</v>
      </c>
      <c r="E76" s="17">
        <f>E27+E41+E75+575000</f>
        <v>5882234</v>
      </c>
      <c r="F76" s="17">
        <f>F27+F41+F75</f>
        <v>6154522.6500000004</v>
      </c>
      <c r="G76" s="17">
        <f>G27+G41+G75</f>
        <v>7114708.0199999996</v>
      </c>
      <c r="H76" s="17">
        <f>H27+H41+H75</f>
        <v>-178109.43410000007</v>
      </c>
      <c r="I76" s="17">
        <f>I27+I41+I75</f>
        <v>-6.4803116788635956E-2</v>
      </c>
    </row>
    <row r="77" spans="1:9" x14ac:dyDescent="0.3">
      <c r="A77" s="16"/>
      <c r="C77" s="29"/>
      <c r="D77" s="29"/>
      <c r="E77" s="37"/>
      <c r="F77" s="37"/>
      <c r="G77" s="38"/>
      <c r="H77" s="29"/>
      <c r="I77" s="15"/>
    </row>
    <row r="78" spans="1:9" x14ac:dyDescent="0.3">
      <c r="A78" s="16" t="s">
        <v>77</v>
      </c>
      <c r="C78" s="21">
        <f t="shared" ref="C78:H78" si="11">C16-C76</f>
        <v>17787.965900000185</v>
      </c>
      <c r="D78" s="21">
        <f t="shared" si="11"/>
        <v>2761747</v>
      </c>
      <c r="E78" s="35">
        <f t="shared" si="11"/>
        <v>-217983</v>
      </c>
      <c r="F78" s="35">
        <f t="shared" si="11"/>
        <v>139686.46999999881</v>
      </c>
      <c r="G78" s="36">
        <f t="shared" si="11"/>
        <v>-739436.36999999918</v>
      </c>
      <c r="H78" s="21">
        <f t="shared" si="11"/>
        <v>2743959.0340999998</v>
      </c>
      <c r="I78" s="24">
        <f>H78/C78</f>
        <v>154.25929246356219</v>
      </c>
    </row>
    <row r="79" spans="1:9" x14ac:dyDescent="0.3">
      <c r="C79" s="12"/>
      <c r="D79" s="12"/>
      <c r="E79" s="32"/>
      <c r="F79" s="32"/>
      <c r="G79" s="33"/>
      <c r="H79" s="12"/>
    </row>
    <row r="80" spans="1:9" x14ac:dyDescent="0.3">
      <c r="A80" s="1">
        <v>8040</v>
      </c>
      <c r="B80" s="1" t="s">
        <v>78</v>
      </c>
      <c r="C80" s="12">
        <f>-Budsjett_enkel!C77</f>
        <v>-50000</v>
      </c>
      <c r="D80" s="12"/>
      <c r="E80" s="32">
        <v>-50000</v>
      </c>
      <c r="F80" s="32">
        <v>-41945.41</v>
      </c>
      <c r="G80" s="33">
        <v>-49742.86</v>
      </c>
      <c r="H80" s="12"/>
      <c r="I80" s="12">
        <f>H80/C80</f>
        <v>0</v>
      </c>
    </row>
    <row r="81" spans="1:9" x14ac:dyDescent="0.3">
      <c r="A81" s="1">
        <v>8110</v>
      </c>
      <c r="B81" s="1" t="s">
        <v>79</v>
      </c>
      <c r="C81" s="12"/>
      <c r="D81" s="12"/>
      <c r="E81" s="32"/>
      <c r="F81" s="32">
        <v>385.96</v>
      </c>
      <c r="G81" s="33">
        <v>449.47</v>
      </c>
      <c r="H81" s="12"/>
      <c r="I81" s="12" t="e">
        <f>H81/C81</f>
        <v>#DIV/0!</v>
      </c>
    </row>
    <row r="82" spans="1:9" x14ac:dyDescent="0.3">
      <c r="A82" s="1">
        <v>8140</v>
      </c>
      <c r="B82" s="1" t="s">
        <v>80</v>
      </c>
      <c r="C82" s="12">
        <f>Budsjett_enkel!C78</f>
        <v>15000</v>
      </c>
      <c r="D82" s="12"/>
      <c r="E82" s="32">
        <v>5000</v>
      </c>
      <c r="F82" s="32">
        <v>0</v>
      </c>
      <c r="G82" s="33">
        <v>0</v>
      </c>
      <c r="H82" s="12"/>
      <c r="I82" s="12">
        <f>H82/C82</f>
        <v>0</v>
      </c>
    </row>
    <row r="83" spans="1:9" x14ac:dyDescent="0.3">
      <c r="A83" s="16" t="s">
        <v>81</v>
      </c>
      <c r="C83" s="12">
        <f>SUM(C80:C82)</f>
        <v>-35000</v>
      </c>
      <c r="D83" s="12">
        <f>SUM(D80:D82)</f>
        <v>0</v>
      </c>
      <c r="E83" s="32">
        <f>SUM(E80:E82)</f>
        <v>-45000</v>
      </c>
      <c r="F83" s="32">
        <f>SUM(F80:F82)</f>
        <v>-41559.450000000004</v>
      </c>
      <c r="G83" s="33">
        <f>SUM(G80:G82)</f>
        <v>-49293.39</v>
      </c>
      <c r="H83" s="12">
        <f>D83-C83</f>
        <v>35000</v>
      </c>
      <c r="I83" s="12">
        <f>H83/C83</f>
        <v>-1</v>
      </c>
    </row>
    <row r="84" spans="1:9" x14ac:dyDescent="0.3">
      <c r="C84" s="12"/>
      <c r="D84" s="12"/>
      <c r="E84" s="32"/>
      <c r="F84" s="32"/>
      <c r="G84" s="33"/>
      <c r="H84" s="12"/>
    </row>
    <row r="85" spans="1:9" x14ac:dyDescent="0.3">
      <c r="A85" s="39" t="s">
        <v>82</v>
      </c>
      <c r="B85" s="39"/>
      <c r="C85" s="40">
        <f>C78-C83</f>
        <v>52787.965900000185</v>
      </c>
      <c r="D85" s="40">
        <f>D78-D83</f>
        <v>2761747</v>
      </c>
      <c r="E85" s="41">
        <f>E78-E83</f>
        <v>-172983</v>
      </c>
      <c r="F85" s="41">
        <f>F78-F83</f>
        <v>181245.91999999882</v>
      </c>
      <c r="G85" s="42">
        <f>G78-G83</f>
        <v>-690142.97999999917</v>
      </c>
      <c r="H85" s="40">
        <f>D85-C85</f>
        <v>2708959.0340999998</v>
      </c>
      <c r="I85" s="40">
        <f>H85/C85</f>
        <v>51.317738577609987</v>
      </c>
    </row>
    <row r="86" spans="1:9" x14ac:dyDescent="0.3">
      <c r="C86" s="12"/>
      <c r="D86" s="12"/>
      <c r="E86" s="32"/>
      <c r="F86" s="32"/>
      <c r="G86" s="33"/>
      <c r="H86" s="12"/>
    </row>
    <row r="87" spans="1:9" x14ac:dyDescent="0.3">
      <c r="E87" s="43"/>
      <c r="F87" s="43"/>
      <c r="G87" s="44"/>
      <c r="H87" s="12"/>
    </row>
    <row r="88" spans="1:9" x14ac:dyDescent="0.3">
      <c r="A88" s="6" t="s">
        <v>83</v>
      </c>
      <c r="B88" s="45"/>
      <c r="C88" s="2" t="s">
        <v>1</v>
      </c>
      <c r="D88" s="2" t="s">
        <v>2</v>
      </c>
      <c r="E88" s="3" t="s">
        <v>3</v>
      </c>
      <c r="F88" s="3" t="s">
        <v>4</v>
      </c>
      <c r="G88" s="4" t="s">
        <v>5</v>
      </c>
      <c r="H88" s="12"/>
    </row>
    <row r="89" spans="1:9" x14ac:dyDescent="0.3">
      <c r="A89" s="1">
        <v>2025</v>
      </c>
      <c r="B89" s="46" t="s">
        <v>84</v>
      </c>
      <c r="C89" s="47">
        <f>Budsjett_enkel!C83</f>
        <v>37300</v>
      </c>
      <c r="D89" s="47"/>
      <c r="E89" s="48">
        <v>43800</v>
      </c>
      <c r="F89" s="48">
        <v>0</v>
      </c>
      <c r="G89" s="49">
        <v>41900</v>
      </c>
      <c r="H89" s="12"/>
    </row>
    <row r="90" spans="1:9" x14ac:dyDescent="0.3">
      <c r="A90" s="1">
        <v>2028</v>
      </c>
      <c r="B90" s="50" t="s">
        <v>85</v>
      </c>
      <c r="C90" s="51">
        <f>Budsjett_enkel!C85</f>
        <v>11701.648400000297</v>
      </c>
      <c r="D90" s="51"/>
      <c r="E90" s="52">
        <v>1443</v>
      </c>
      <c r="F90" s="52">
        <v>1443</v>
      </c>
      <c r="G90" s="53"/>
      <c r="H90" s="12" t="s">
        <v>86</v>
      </c>
    </row>
    <row r="91" spans="1:9" x14ac:dyDescent="0.3">
      <c r="A91" s="1">
        <v>2029</v>
      </c>
      <c r="B91" s="50" t="s">
        <v>87</v>
      </c>
      <c r="C91" s="51">
        <f>Budsjett_enkel!C86</f>
        <v>0</v>
      </c>
      <c r="D91" s="51"/>
      <c r="E91" s="52"/>
      <c r="F91" s="52">
        <v>0</v>
      </c>
      <c r="G91" s="53"/>
      <c r="H91" s="12"/>
    </row>
    <row r="92" spans="1:9" x14ac:dyDescent="0.3">
      <c r="A92" s="1">
        <v>2030</v>
      </c>
      <c r="B92" s="50" t="s">
        <v>88</v>
      </c>
      <c r="C92" s="51">
        <f>Budsjett_enkel!C87</f>
        <v>15000</v>
      </c>
      <c r="D92" s="51"/>
      <c r="E92" s="52">
        <v>15000</v>
      </c>
      <c r="F92" s="52">
        <v>10318</v>
      </c>
      <c r="G92" s="53">
        <v>15951</v>
      </c>
      <c r="H92" s="12"/>
    </row>
    <row r="93" spans="1:9" x14ac:dyDescent="0.3">
      <c r="A93" s="1">
        <v>2040</v>
      </c>
      <c r="B93" s="50" t="s">
        <v>89</v>
      </c>
      <c r="C93" s="51"/>
      <c r="D93" s="51"/>
      <c r="E93" s="52"/>
      <c r="F93" s="52">
        <v>0</v>
      </c>
      <c r="G93" s="53"/>
      <c r="H93" s="12"/>
    </row>
    <row r="94" spans="1:9" x14ac:dyDescent="0.3">
      <c r="A94" s="45">
        <v>2050</v>
      </c>
      <c r="B94" s="54" t="s">
        <v>90</v>
      </c>
      <c r="C94" s="55"/>
      <c r="D94" s="55"/>
      <c r="E94" s="56"/>
      <c r="F94" s="56">
        <v>169484.92</v>
      </c>
      <c r="G94" s="57"/>
      <c r="H94" s="12"/>
    </row>
    <row r="95" spans="1:9" x14ac:dyDescent="0.3">
      <c r="B95" s="50" t="s">
        <v>91</v>
      </c>
      <c r="C95" s="47">
        <f>SUM(C89:C94)</f>
        <v>64001.648400000297</v>
      </c>
      <c r="D95" s="47">
        <f>SUM(D89:D94)</f>
        <v>0</v>
      </c>
      <c r="E95" s="48">
        <f>SUM(E89:E94)</f>
        <v>60243</v>
      </c>
      <c r="F95" s="48">
        <f>SUM(F89:F94)</f>
        <v>181245.92</v>
      </c>
      <c r="G95" s="58">
        <f>SUM(G89:G94)</f>
        <v>57851</v>
      </c>
      <c r="H95" s="12"/>
    </row>
    <row r="96" spans="1:9" x14ac:dyDescent="0.3">
      <c r="A96" s="45">
        <v>8980</v>
      </c>
      <c r="B96" s="54" t="s">
        <v>92</v>
      </c>
      <c r="C96" s="55">
        <f>C85-C95</f>
        <v>-11213.682500000112</v>
      </c>
      <c r="D96" s="55">
        <f>D85-D95</f>
        <v>2761747</v>
      </c>
      <c r="E96" s="56">
        <f>E85-E95</f>
        <v>-233226</v>
      </c>
      <c r="F96" s="56">
        <f>F85-F95</f>
        <v>-1.1932570487260818E-9</v>
      </c>
      <c r="G96" s="59">
        <f>G85-G95</f>
        <v>-747993.97999999917</v>
      </c>
      <c r="H96" s="12"/>
    </row>
    <row r="97" spans="3:8" x14ac:dyDescent="0.3">
      <c r="C97" s="12"/>
      <c r="D97" s="12"/>
      <c r="E97" s="12"/>
      <c r="F97" s="12"/>
      <c r="G97" s="12"/>
      <c r="H97" s="12"/>
    </row>
    <row r="98" spans="3:8" x14ac:dyDescent="0.3">
      <c r="C98" s="12"/>
      <c r="D98" s="12"/>
      <c r="E98" s="12"/>
      <c r="F98" s="12"/>
      <c r="G98" s="12"/>
      <c r="H98" s="12"/>
    </row>
    <row r="99" spans="3:8" x14ac:dyDescent="0.3">
      <c r="C99" s="12"/>
      <c r="D99" s="12"/>
      <c r="E99" s="12"/>
      <c r="F99" s="12"/>
      <c r="G99" s="12"/>
      <c r="H99" s="12"/>
    </row>
    <row r="100" spans="3:8" x14ac:dyDescent="0.3">
      <c r="C100" s="12"/>
      <c r="D100" s="12"/>
      <c r="E100" s="12"/>
      <c r="F100" s="12"/>
      <c r="G100" s="12"/>
      <c r="H100" s="12"/>
    </row>
    <row r="101" spans="3:8" x14ac:dyDescent="0.3">
      <c r="C101" s="12"/>
      <c r="D101" s="12"/>
      <c r="E101" s="12"/>
      <c r="F101" s="12"/>
      <c r="G101" s="12"/>
      <c r="H101" s="12"/>
    </row>
    <row r="102" spans="3:8" x14ac:dyDescent="0.3">
      <c r="C102" s="12"/>
      <c r="D102" s="12"/>
      <c r="E102" s="12"/>
      <c r="F102" s="12"/>
      <c r="G102" s="12"/>
      <c r="H102" s="12"/>
    </row>
    <row r="103" spans="3:8" x14ac:dyDescent="0.3">
      <c r="C103" s="12"/>
      <c r="D103" s="12"/>
      <c r="E103" s="12"/>
      <c r="F103" s="12"/>
      <c r="G103" s="12"/>
      <c r="H103" s="12"/>
    </row>
    <row r="104" spans="3:8" x14ac:dyDescent="0.3">
      <c r="C104" s="12"/>
      <c r="D104" s="12"/>
      <c r="E104" s="12"/>
      <c r="F104" s="12"/>
      <c r="G104" s="12"/>
      <c r="H104" s="12"/>
    </row>
    <row r="105" spans="3:8" x14ac:dyDescent="0.3">
      <c r="C105" s="12"/>
      <c r="D105" s="12"/>
      <c r="E105" s="12"/>
      <c r="F105" s="12"/>
      <c r="G105" s="12"/>
      <c r="H105" s="12"/>
    </row>
    <row r="106" spans="3:8" x14ac:dyDescent="0.3">
      <c r="C106" s="12"/>
      <c r="D106" s="12"/>
      <c r="E106" s="12"/>
      <c r="F106" s="12"/>
      <c r="G106" s="12"/>
      <c r="H106" s="12"/>
    </row>
    <row r="107" spans="3:8" x14ac:dyDescent="0.3">
      <c r="C107" s="12"/>
      <c r="D107" s="12"/>
      <c r="E107" s="12"/>
      <c r="F107" s="12"/>
      <c r="G107" s="12"/>
      <c r="H107" s="12"/>
    </row>
    <row r="108" spans="3:8" x14ac:dyDescent="0.3">
      <c r="C108" s="12"/>
      <c r="D108" s="12"/>
      <c r="E108" s="12"/>
      <c r="F108" s="12"/>
      <c r="G108" s="12"/>
      <c r="H108" s="12"/>
    </row>
    <row r="109" spans="3:8" x14ac:dyDescent="0.3">
      <c r="C109" s="12"/>
      <c r="D109" s="12"/>
      <c r="E109" s="12"/>
      <c r="F109" s="12"/>
      <c r="G109" s="12"/>
      <c r="H109" s="12"/>
    </row>
    <row r="110" spans="3:8" x14ac:dyDescent="0.3">
      <c r="C110" s="12"/>
      <c r="D110" s="12"/>
      <c r="E110" s="12"/>
      <c r="F110" s="12"/>
      <c r="G110" s="12"/>
      <c r="H110" s="12"/>
    </row>
    <row r="111" spans="3:8" x14ac:dyDescent="0.3">
      <c r="C111" s="12"/>
      <c r="D111" s="12"/>
      <c r="E111" s="12"/>
      <c r="F111" s="12"/>
      <c r="G111" s="12"/>
      <c r="H111" s="12"/>
    </row>
    <row r="112" spans="3:8" x14ac:dyDescent="0.3">
      <c r="C112" s="12"/>
      <c r="D112" s="12"/>
      <c r="E112" s="12"/>
      <c r="F112" s="12"/>
      <c r="G112" s="12"/>
      <c r="H112" s="12"/>
    </row>
    <row r="113" spans="3:8" x14ac:dyDescent="0.3">
      <c r="C113" s="12"/>
      <c r="D113" s="12"/>
      <c r="E113" s="12"/>
      <c r="F113" s="12"/>
      <c r="G113" s="12"/>
      <c r="H113" s="12"/>
    </row>
    <row r="114" spans="3:8" x14ac:dyDescent="0.3">
      <c r="C114" s="12"/>
      <c r="D114" s="12"/>
      <c r="E114" s="12"/>
      <c r="F114" s="12"/>
      <c r="G114" s="12"/>
      <c r="H114" s="12"/>
    </row>
    <row r="115" spans="3:8" x14ac:dyDescent="0.3">
      <c r="C115" s="12"/>
      <c r="D115" s="12"/>
      <c r="E115" s="12"/>
      <c r="F115" s="12"/>
      <c r="G115" s="12"/>
      <c r="H115" s="12"/>
    </row>
    <row r="116" spans="3:8" x14ac:dyDescent="0.3">
      <c r="C116" s="12"/>
      <c r="D116" s="12"/>
      <c r="E116" s="12"/>
      <c r="F116" s="12"/>
      <c r="G116" s="12"/>
      <c r="H116" s="12"/>
    </row>
    <row r="117" spans="3:8" x14ac:dyDescent="0.3">
      <c r="C117" s="12"/>
      <c r="D117" s="12"/>
      <c r="E117" s="12"/>
      <c r="F117" s="12"/>
      <c r="G117" s="12"/>
      <c r="H117" s="12"/>
    </row>
    <row r="118" spans="3:8" x14ac:dyDescent="0.3">
      <c r="C118" s="12"/>
      <c r="D118" s="12"/>
      <c r="E118" s="12"/>
      <c r="F118" s="12"/>
      <c r="G118" s="12"/>
      <c r="H118" s="12"/>
    </row>
    <row r="119" spans="3:8" x14ac:dyDescent="0.3">
      <c r="C119" s="12"/>
      <c r="D119" s="12"/>
      <c r="E119" s="12"/>
      <c r="F119" s="12"/>
      <c r="G119" s="12"/>
      <c r="H119" s="12"/>
    </row>
    <row r="120" spans="3:8" x14ac:dyDescent="0.3">
      <c r="C120" s="12"/>
      <c r="D120" s="12"/>
      <c r="E120" s="12"/>
      <c r="F120" s="12"/>
      <c r="G120" s="12"/>
      <c r="H120" s="12"/>
    </row>
    <row r="121" spans="3:8" x14ac:dyDescent="0.3">
      <c r="C121" s="12"/>
      <c r="D121" s="12"/>
      <c r="E121" s="12"/>
      <c r="F121" s="12"/>
      <c r="G121" s="12"/>
      <c r="H121" s="12"/>
    </row>
    <row r="122" spans="3:8" x14ac:dyDescent="0.3">
      <c r="C122" s="12"/>
      <c r="D122" s="12"/>
      <c r="E122" s="12"/>
      <c r="F122" s="12"/>
      <c r="G122" s="12"/>
      <c r="H122" s="12"/>
    </row>
    <row r="123" spans="3:8" x14ac:dyDescent="0.3">
      <c r="C123" s="12"/>
      <c r="D123" s="12"/>
      <c r="E123" s="12"/>
      <c r="F123" s="12"/>
      <c r="G123" s="12"/>
      <c r="H123" s="12"/>
    </row>
    <row r="124" spans="3:8" x14ac:dyDescent="0.3">
      <c r="C124" s="12"/>
      <c r="D124" s="12"/>
      <c r="E124" s="12"/>
      <c r="F124" s="12"/>
      <c r="G124" s="12"/>
      <c r="H124" s="12"/>
    </row>
    <row r="125" spans="3:8" x14ac:dyDescent="0.3">
      <c r="C125" s="12"/>
      <c r="D125" s="12"/>
      <c r="E125" s="12"/>
      <c r="F125" s="12"/>
      <c r="G125" s="12"/>
      <c r="H125" s="12"/>
    </row>
    <row r="126" spans="3:8" x14ac:dyDescent="0.3">
      <c r="C126" s="12"/>
      <c r="D126" s="12"/>
      <c r="E126" s="12"/>
      <c r="F126" s="12"/>
      <c r="G126" s="12"/>
      <c r="H126" s="12"/>
    </row>
    <row r="127" spans="3:8" x14ac:dyDescent="0.3">
      <c r="C127" s="12"/>
      <c r="D127" s="12"/>
      <c r="E127" s="12"/>
      <c r="F127" s="12"/>
      <c r="G127" s="12"/>
      <c r="H127" s="12"/>
    </row>
    <row r="128" spans="3:8" x14ac:dyDescent="0.3">
      <c r="C128" s="12"/>
      <c r="D128" s="12"/>
      <c r="E128" s="12"/>
      <c r="F128" s="12"/>
      <c r="G128" s="12"/>
      <c r="H128" s="12"/>
    </row>
    <row r="129" spans="3:8" x14ac:dyDescent="0.3">
      <c r="C129" s="12"/>
      <c r="D129" s="12"/>
      <c r="E129" s="12"/>
      <c r="F129" s="12"/>
      <c r="G129" s="12"/>
      <c r="H129" s="12"/>
    </row>
    <row r="130" spans="3:8" x14ac:dyDescent="0.3">
      <c r="C130" s="12"/>
      <c r="D130" s="12"/>
      <c r="E130" s="12"/>
      <c r="F130" s="12"/>
      <c r="G130" s="12"/>
      <c r="H130" s="12"/>
    </row>
    <row r="131" spans="3:8" x14ac:dyDescent="0.3">
      <c r="C131" s="12"/>
      <c r="D131" s="12"/>
      <c r="E131" s="12"/>
      <c r="F131" s="12"/>
      <c r="G131" s="12"/>
      <c r="H131" s="12"/>
    </row>
    <row r="132" spans="3:8" x14ac:dyDescent="0.3">
      <c r="C132" s="12"/>
      <c r="D132" s="12"/>
      <c r="E132" s="12"/>
      <c r="F132" s="12"/>
      <c r="G132" s="12"/>
      <c r="H132" s="12"/>
    </row>
    <row r="133" spans="3:8" x14ac:dyDescent="0.3">
      <c r="C133" s="12"/>
      <c r="D133" s="12"/>
      <c r="E133" s="12"/>
      <c r="F133" s="12"/>
      <c r="G133" s="12"/>
      <c r="H133" s="12"/>
    </row>
    <row r="134" spans="3:8" x14ac:dyDescent="0.3">
      <c r="C134" s="12"/>
      <c r="D134" s="12"/>
      <c r="E134" s="12"/>
      <c r="F134" s="12"/>
      <c r="G134" s="12"/>
      <c r="H134" s="12"/>
    </row>
    <row r="135" spans="3:8" x14ac:dyDescent="0.3">
      <c r="C135" s="12"/>
      <c r="D135" s="12"/>
      <c r="E135" s="12"/>
      <c r="F135" s="12"/>
      <c r="G135" s="12"/>
      <c r="H135" s="12"/>
    </row>
    <row r="136" spans="3:8" x14ac:dyDescent="0.3">
      <c r="C136" s="12"/>
      <c r="D136" s="12"/>
      <c r="E136" s="12"/>
      <c r="F136" s="12"/>
      <c r="G136" s="12"/>
      <c r="H136" s="12"/>
    </row>
    <row r="137" spans="3:8" x14ac:dyDescent="0.3">
      <c r="C137" s="12"/>
      <c r="D137" s="12"/>
      <c r="E137" s="12"/>
      <c r="F137" s="12"/>
      <c r="G137" s="12"/>
      <c r="H137" s="12"/>
    </row>
    <row r="138" spans="3:8" x14ac:dyDescent="0.3">
      <c r="C138" s="12"/>
      <c r="D138" s="12"/>
      <c r="E138" s="12"/>
      <c r="F138" s="12"/>
      <c r="G138" s="12"/>
      <c r="H138" s="12"/>
    </row>
    <row r="139" spans="3:8" x14ac:dyDescent="0.3">
      <c r="C139" s="12"/>
      <c r="D139" s="12"/>
      <c r="E139" s="12"/>
      <c r="F139" s="12"/>
      <c r="G139" s="12"/>
      <c r="H139" s="12"/>
    </row>
    <row r="140" spans="3:8" x14ac:dyDescent="0.3">
      <c r="C140" s="12"/>
      <c r="D140" s="12"/>
      <c r="E140" s="12"/>
      <c r="F140" s="12"/>
      <c r="G140" s="12"/>
      <c r="H140" s="12"/>
    </row>
    <row r="141" spans="3:8" x14ac:dyDescent="0.3">
      <c r="C141" s="12"/>
      <c r="D141" s="12"/>
      <c r="E141" s="12"/>
      <c r="F141" s="12"/>
      <c r="G141" s="12"/>
      <c r="H141" s="12"/>
    </row>
    <row r="142" spans="3:8" x14ac:dyDescent="0.3">
      <c r="C142" s="12"/>
      <c r="D142" s="12"/>
      <c r="E142" s="12"/>
      <c r="F142" s="12"/>
      <c r="G142" s="12"/>
      <c r="H142" s="12"/>
    </row>
    <row r="143" spans="3:8" x14ac:dyDescent="0.3">
      <c r="C143" s="12"/>
      <c r="D143" s="12"/>
      <c r="E143" s="12"/>
      <c r="F143" s="12"/>
      <c r="G143" s="12"/>
      <c r="H143" s="12"/>
    </row>
    <row r="144" spans="3:8" x14ac:dyDescent="0.3">
      <c r="C144" s="12"/>
      <c r="D144" s="12"/>
      <c r="E144" s="12"/>
      <c r="F144" s="12"/>
      <c r="G144" s="12"/>
      <c r="H144" s="12"/>
    </row>
    <row r="145" spans="3:8" x14ac:dyDescent="0.3">
      <c r="C145" s="12"/>
      <c r="D145" s="12"/>
      <c r="E145" s="12"/>
      <c r="F145" s="12"/>
      <c r="G145" s="12"/>
      <c r="H145" s="12"/>
    </row>
    <row r="146" spans="3:8" x14ac:dyDescent="0.3">
      <c r="C146" s="12"/>
      <c r="D146" s="12"/>
      <c r="E146" s="12"/>
      <c r="F146" s="12"/>
      <c r="G146" s="12"/>
      <c r="H146" s="12"/>
    </row>
    <row r="147" spans="3:8" x14ac:dyDescent="0.3">
      <c r="C147" s="12"/>
      <c r="D147" s="12"/>
      <c r="E147" s="12"/>
      <c r="F147" s="12"/>
      <c r="G147" s="12"/>
      <c r="H147" s="12"/>
    </row>
    <row r="148" spans="3:8" x14ac:dyDescent="0.3">
      <c r="C148" s="12"/>
      <c r="D148" s="12"/>
      <c r="E148" s="12"/>
      <c r="F148" s="12"/>
      <c r="G148" s="12"/>
      <c r="H148" s="12"/>
    </row>
    <row r="149" spans="3:8" x14ac:dyDescent="0.3">
      <c r="C149" s="12"/>
      <c r="D149" s="12"/>
      <c r="E149" s="12"/>
      <c r="F149" s="12"/>
      <c r="G149" s="12"/>
      <c r="H149" s="12"/>
    </row>
    <row r="150" spans="3:8" x14ac:dyDescent="0.3">
      <c r="C150" s="12"/>
      <c r="D150" s="12"/>
      <c r="E150" s="12"/>
      <c r="F150" s="12"/>
      <c r="G150" s="12"/>
      <c r="H150" s="12"/>
    </row>
    <row r="151" spans="3:8" x14ac:dyDescent="0.3">
      <c r="C151" s="12"/>
      <c r="D151" s="12"/>
      <c r="E151" s="12"/>
      <c r="F151" s="12"/>
      <c r="G151" s="12"/>
      <c r="H151" s="12"/>
    </row>
    <row r="152" spans="3:8" x14ac:dyDescent="0.3">
      <c r="C152" s="12"/>
      <c r="D152" s="12"/>
      <c r="E152" s="12"/>
      <c r="F152" s="12"/>
      <c r="G152" s="12"/>
      <c r="H152" s="12"/>
    </row>
    <row r="153" spans="3:8" x14ac:dyDescent="0.3">
      <c r="C153" s="12"/>
      <c r="D153" s="12"/>
      <c r="E153" s="12"/>
      <c r="F153" s="12"/>
      <c r="G153" s="12"/>
      <c r="H153" s="12"/>
    </row>
    <row r="154" spans="3:8" x14ac:dyDescent="0.3">
      <c r="C154" s="12"/>
      <c r="D154" s="12"/>
      <c r="E154" s="12"/>
      <c r="F154" s="12"/>
      <c r="G154" s="12"/>
      <c r="H154" s="12"/>
    </row>
    <row r="155" spans="3:8" x14ac:dyDescent="0.3">
      <c r="C155" s="12"/>
      <c r="D155" s="12"/>
      <c r="E155" s="12"/>
      <c r="F155" s="12"/>
      <c r="G155" s="12"/>
      <c r="H155" s="12"/>
    </row>
    <row r="156" spans="3:8" x14ac:dyDescent="0.3">
      <c r="C156" s="12"/>
      <c r="D156" s="12"/>
      <c r="E156" s="12"/>
      <c r="F156" s="12"/>
      <c r="G156" s="12"/>
      <c r="H156" s="12"/>
    </row>
    <row r="157" spans="3:8" x14ac:dyDescent="0.3">
      <c r="C157" s="12"/>
      <c r="D157" s="12"/>
      <c r="E157" s="12"/>
      <c r="F157" s="12"/>
      <c r="G157" s="12"/>
      <c r="H157" s="12"/>
    </row>
    <row r="158" spans="3:8" x14ac:dyDescent="0.3">
      <c r="C158" s="12"/>
      <c r="D158" s="12"/>
      <c r="E158" s="12"/>
      <c r="F158" s="12"/>
      <c r="G158" s="12"/>
      <c r="H158" s="12"/>
    </row>
    <row r="159" spans="3:8" x14ac:dyDescent="0.3">
      <c r="C159" s="12"/>
      <c r="D159" s="12"/>
      <c r="E159" s="12"/>
      <c r="F159" s="12"/>
      <c r="G159" s="12"/>
      <c r="H159" s="12"/>
    </row>
  </sheetData>
  <sheetProtection selectLockedCells="1" selectUnlockedCells="1"/>
  <mergeCells count="3">
    <mergeCell ref="A1:B1"/>
    <mergeCell ref="A2:B2"/>
    <mergeCell ref="A18:B18"/>
  </mergeCells>
  <conditionalFormatting sqref="H3:I16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conditionalFormatting sqref="H19:I75">
    <cfRule type="cellIs" dxfId="9" priority="3" stopIfTrue="1" operator="lessThan">
      <formula>0</formula>
    </cfRule>
    <cfRule type="cellIs" dxfId="8" priority="4" stopIfTrue="1" operator="greaterThan">
      <formula>0</formula>
    </cfRule>
  </conditionalFormatting>
  <conditionalFormatting sqref="C78:D78 F78:H78">
    <cfRule type="cellIs" dxfId="7" priority="5" stopIfTrue="1" operator="lessThan">
      <formula>0</formula>
    </cfRule>
    <cfRule type="cellIs" dxfId="6" priority="6" stopIfTrue="1" operator="greaterThan">
      <formula>0</formula>
    </cfRule>
  </conditionalFormatting>
  <conditionalFormatting sqref="C85:D85 F85:I85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E78">
    <cfRule type="cellIs" dxfId="3" priority="9" stopIfTrue="1" operator="lessThan">
      <formula>0</formula>
    </cfRule>
    <cfRule type="cellIs" dxfId="2" priority="10" stopIfTrue="1" operator="greaterThan">
      <formula>0</formula>
    </cfRule>
  </conditionalFormatting>
  <conditionalFormatting sqref="E85">
    <cfRule type="cellIs" dxfId="1" priority="11" stopIfTrue="1" operator="lessThan">
      <formula>0</formula>
    </cfRule>
    <cfRule type="cellIs" dxfId="0" priority="12" stopIfTrue="1" operator="greater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9"/>
  <sheetViews>
    <sheetView showGridLines="0" zoomScale="75" zoomScaleNormal="75" workbookViewId="0">
      <pane xSplit="2" ySplit="1" topLeftCell="C41" activePane="bottomRight" state="frozen"/>
      <selection pane="topRight" activeCell="C1" sqref="C1"/>
      <selection pane="bottomLeft" activeCell="A36" sqref="A36"/>
      <selection pane="bottomRight" activeCell="E59" sqref="E59"/>
    </sheetView>
  </sheetViews>
  <sheetFormatPr defaultColWidth="12.5546875" defaultRowHeight="14.4" x14ac:dyDescent="0.3"/>
  <cols>
    <col min="1" max="1" width="6.44140625" style="60" customWidth="1"/>
    <col min="2" max="2" width="29.21875" style="60" customWidth="1"/>
    <col min="3" max="13" width="18.21875" style="60" customWidth="1"/>
    <col min="14" max="16384" width="12.5546875" style="60"/>
  </cols>
  <sheetData>
    <row r="1" spans="1:14" x14ac:dyDescent="0.3">
      <c r="A1" s="60" t="s">
        <v>93</v>
      </c>
      <c r="B1" s="61" t="s">
        <v>94</v>
      </c>
      <c r="C1" s="309" t="s">
        <v>95</v>
      </c>
      <c r="D1" s="309"/>
      <c r="E1" s="309"/>
      <c r="F1" s="310" t="s">
        <v>96</v>
      </c>
      <c r="G1" s="310"/>
      <c r="H1" s="310" t="s">
        <v>97</v>
      </c>
      <c r="I1" s="310"/>
      <c r="J1" s="310" t="s">
        <v>98</v>
      </c>
      <c r="K1" s="310"/>
      <c r="L1" s="311" t="s">
        <v>99</v>
      </c>
      <c r="M1" s="311"/>
    </row>
    <row r="2" spans="1:14" x14ac:dyDescent="0.3">
      <c r="A2" s="62"/>
      <c r="B2" s="62"/>
      <c r="C2" s="63" t="s">
        <v>100</v>
      </c>
      <c r="D2" s="64" t="s">
        <v>101</v>
      </c>
      <c r="E2" s="65" t="s">
        <v>102</v>
      </c>
      <c r="F2" s="66" t="s">
        <v>103</v>
      </c>
      <c r="G2" s="67" t="s">
        <v>104</v>
      </c>
      <c r="H2" s="66" t="s">
        <v>103</v>
      </c>
      <c r="I2" s="67" t="s">
        <v>104</v>
      </c>
      <c r="J2" s="66" t="s">
        <v>103</v>
      </c>
      <c r="K2" s="67" t="s">
        <v>104</v>
      </c>
      <c r="L2" s="66" t="s">
        <v>103</v>
      </c>
      <c r="M2" s="67" t="s">
        <v>104</v>
      </c>
    </row>
    <row r="3" spans="1:14" x14ac:dyDescent="0.3">
      <c r="B3" s="68" t="s">
        <v>105</v>
      </c>
      <c r="C3" s="69"/>
      <c r="D3" s="70"/>
      <c r="E3" s="70"/>
      <c r="F3" s="71"/>
      <c r="G3" s="72"/>
      <c r="H3" s="71"/>
      <c r="I3" s="72"/>
      <c r="J3" s="71"/>
      <c r="K3" s="72"/>
      <c r="L3" s="71"/>
      <c r="M3" s="73"/>
    </row>
    <row r="4" spans="1:14" x14ac:dyDescent="0.3">
      <c r="A4" s="74">
        <v>3010</v>
      </c>
      <c r="B4" s="75" t="s">
        <v>9</v>
      </c>
      <c r="C4" s="76">
        <f>F4+H4+J4+L4</f>
        <v>0</v>
      </c>
      <c r="D4" s="77"/>
      <c r="E4" s="77">
        <f>Budsjettanalyse!F3</f>
        <v>-1816</v>
      </c>
      <c r="F4" s="78"/>
      <c r="G4" s="79"/>
      <c r="H4" s="78"/>
      <c r="I4" s="79"/>
      <c r="J4" s="78"/>
      <c r="K4" s="79"/>
      <c r="L4" s="78"/>
      <c r="M4" s="80"/>
    </row>
    <row r="5" spans="1:14" x14ac:dyDescent="0.3">
      <c r="A5" s="74">
        <v>3110</v>
      </c>
      <c r="B5" s="75" t="s">
        <v>10</v>
      </c>
      <c r="C5" s="76">
        <f>F5+H5+J5+L5</f>
        <v>1946129.4000000001</v>
      </c>
      <c r="D5" s="77">
        <v>1896979</v>
      </c>
      <c r="E5" s="77">
        <f>Budsjettanalyse!F4</f>
        <v>1966875.09</v>
      </c>
      <c r="F5" s="78">
        <f>Sentralt!B6+Sentralt!B10+Sentralt!B14+Sentralt!B7+Sentralt!B5</f>
        <v>524600</v>
      </c>
      <c r="G5" s="79"/>
      <c r="H5" s="78">
        <f>-(Program!H5+Program!H6+Program!H7+Program!H8+Program!H9+Program!H10+Program!H11)</f>
        <v>1421529.4000000001</v>
      </c>
      <c r="I5" s="79"/>
      <c r="J5" s="78"/>
      <c r="K5" s="79"/>
      <c r="L5" s="78"/>
      <c r="M5" s="80"/>
      <c r="N5" s="81"/>
    </row>
    <row r="6" spans="1:14" x14ac:dyDescent="0.3">
      <c r="A6" s="74"/>
      <c r="B6" s="82" t="s">
        <v>11</v>
      </c>
      <c r="C6" s="83">
        <f>SUM(C4:C5)</f>
        <v>1946129.4000000001</v>
      </c>
      <c r="D6" s="83">
        <f>SUM(D5)</f>
        <v>1896979</v>
      </c>
      <c r="E6" s="83">
        <f>SUM(E4:E5)</f>
        <v>1965059.09</v>
      </c>
      <c r="F6" s="83">
        <f>SUM(F4:F5)</f>
        <v>524600</v>
      </c>
      <c r="G6" s="84"/>
      <c r="H6" s="83">
        <f>SUM(H4:H5)</f>
        <v>1421529.4000000001</v>
      </c>
      <c r="I6" s="84"/>
      <c r="J6" s="83">
        <f>SUM(J4:J5)</f>
        <v>0</v>
      </c>
      <c r="K6" s="84"/>
      <c r="L6" s="83">
        <f>SUM(L4:L5)</f>
        <v>0</v>
      </c>
      <c r="M6" s="85"/>
    </row>
    <row r="7" spans="1:14" x14ac:dyDescent="0.3">
      <c r="A7" s="74">
        <v>3900</v>
      </c>
      <c r="B7" s="75" t="s">
        <v>12</v>
      </c>
      <c r="C7" s="76">
        <f t="shared" ref="C7:C14" si="0">F7+H7+J7+L7</f>
        <v>1310000</v>
      </c>
      <c r="D7" s="77">
        <v>1290000</v>
      </c>
      <c r="E7" s="77">
        <f>Budsjettanalyse!F7</f>
        <v>1336763.6299999999</v>
      </c>
      <c r="F7" s="78">
        <f>Sentralt!B9+Sentralt!B12</f>
        <v>290000</v>
      </c>
      <c r="G7" s="79"/>
      <c r="H7" s="78"/>
      <c r="I7" s="79"/>
      <c r="J7" s="78"/>
      <c r="K7" s="79"/>
      <c r="L7" s="78">
        <f>(Prosjekter!E16-Prosjekter!E6-Prosjekter!E8-Prosjekter!E7)</f>
        <v>1020000</v>
      </c>
      <c r="M7" s="80"/>
    </row>
    <row r="8" spans="1:14" x14ac:dyDescent="0.3">
      <c r="A8" s="74">
        <v>3901</v>
      </c>
      <c r="B8" s="75" t="s">
        <v>106</v>
      </c>
      <c r="C8" s="76">
        <f t="shared" si="0"/>
        <v>475000</v>
      </c>
      <c r="D8" s="77">
        <v>475000</v>
      </c>
      <c r="E8" s="77">
        <f>Budsjettanalyse!F8</f>
        <v>537640</v>
      </c>
      <c r="F8" s="78">
        <f>Sentralt!B13</f>
        <v>475000</v>
      </c>
      <c r="G8" s="79"/>
      <c r="H8" s="78"/>
      <c r="I8" s="79"/>
      <c r="J8" s="78"/>
      <c r="K8" s="79"/>
      <c r="L8" s="78"/>
      <c r="M8" s="80"/>
    </row>
    <row r="9" spans="1:14" x14ac:dyDescent="0.3">
      <c r="A9" s="74">
        <v>3910</v>
      </c>
      <c r="B9" s="86" t="s">
        <v>14</v>
      </c>
      <c r="C9" s="76">
        <f t="shared" si="0"/>
        <v>1700000</v>
      </c>
      <c r="D9" s="77">
        <v>1700000</v>
      </c>
      <c r="E9" s="77">
        <f>Budsjettanalyse!F9</f>
        <v>1686177</v>
      </c>
      <c r="F9" s="78">
        <f>Sentralt!B3+Sentralt!B4</f>
        <v>1364000</v>
      </c>
      <c r="G9" s="79"/>
      <c r="H9" s="78">
        <f>-(Program!H12)</f>
        <v>336000</v>
      </c>
      <c r="I9" s="79"/>
      <c r="J9" s="78"/>
      <c r="K9" s="79"/>
      <c r="L9" s="78"/>
      <c r="M9" s="80"/>
    </row>
    <row r="10" spans="1:14" x14ac:dyDescent="0.3">
      <c r="A10" s="74">
        <v>3911</v>
      </c>
      <c r="B10" s="87" t="s">
        <v>15</v>
      </c>
      <c r="C10" s="76">
        <f t="shared" si="0"/>
        <v>260000</v>
      </c>
      <c r="D10" s="77"/>
      <c r="E10" s="77">
        <f>Budsjettanalyse!F10</f>
        <v>66946</v>
      </c>
      <c r="F10" s="78"/>
      <c r="G10" s="79"/>
      <c r="H10" s="78"/>
      <c r="I10" s="79"/>
      <c r="J10" s="78"/>
      <c r="K10" s="79"/>
      <c r="L10" s="78">
        <f>Prosjekter!E7+Prosjekter!E8</f>
        <v>260000</v>
      </c>
      <c r="M10" s="80"/>
    </row>
    <row r="11" spans="1:14" x14ac:dyDescent="0.3">
      <c r="A11" s="74">
        <v>3922</v>
      </c>
      <c r="B11" s="87" t="s">
        <v>16</v>
      </c>
      <c r="C11" s="76">
        <f t="shared" si="0"/>
        <v>0</v>
      </c>
      <c r="D11" s="77"/>
      <c r="E11" s="77">
        <f>Budsjettanalyse!F11</f>
        <v>0</v>
      </c>
      <c r="F11" s="78"/>
      <c r="G11" s="79"/>
      <c r="H11" s="78"/>
      <c r="I11" s="79"/>
      <c r="J11" s="78"/>
      <c r="K11" s="79"/>
      <c r="L11" s="78"/>
      <c r="M11" s="80"/>
    </row>
    <row r="12" spans="1:14" x14ac:dyDescent="0.3">
      <c r="A12" s="74">
        <v>3927</v>
      </c>
      <c r="B12" s="75" t="s">
        <v>17</v>
      </c>
      <c r="C12" s="76">
        <f t="shared" si="0"/>
        <v>450000</v>
      </c>
      <c r="D12" s="77">
        <v>450000</v>
      </c>
      <c r="E12" s="77">
        <f>Budsjettanalyse!F12</f>
        <v>394580</v>
      </c>
      <c r="F12" s="78">
        <f>Sentralt!B8</f>
        <v>450000</v>
      </c>
      <c r="G12" s="79"/>
      <c r="H12" s="78"/>
      <c r="I12" s="79"/>
      <c r="J12" s="78"/>
      <c r="K12" s="79"/>
      <c r="L12" s="78"/>
      <c r="M12" s="80"/>
    </row>
    <row r="13" spans="1:14" x14ac:dyDescent="0.3">
      <c r="A13" s="74">
        <v>3930</v>
      </c>
      <c r="B13" s="75" t="s">
        <v>107</v>
      </c>
      <c r="C13" s="76">
        <f t="shared" si="0"/>
        <v>150000</v>
      </c>
      <c r="D13" s="77">
        <v>150000</v>
      </c>
      <c r="E13" s="77">
        <f>Budsjettanalyse!F13</f>
        <v>139743.4</v>
      </c>
      <c r="F13" s="78"/>
      <c r="G13" s="79"/>
      <c r="H13" s="78"/>
      <c r="I13" s="79"/>
      <c r="J13" s="78"/>
      <c r="K13" s="79"/>
      <c r="L13" s="78">
        <f>Prosjekter!E6</f>
        <v>150000</v>
      </c>
      <c r="M13" s="80"/>
    </row>
    <row r="14" spans="1:14" x14ac:dyDescent="0.3">
      <c r="A14" s="74">
        <v>3950</v>
      </c>
      <c r="B14" s="86" t="s">
        <v>19</v>
      </c>
      <c r="C14" s="76">
        <f t="shared" si="0"/>
        <v>180000</v>
      </c>
      <c r="D14" s="77">
        <v>150000</v>
      </c>
      <c r="E14" s="77">
        <f>Budsjettanalyse!F14</f>
        <v>167300</v>
      </c>
      <c r="F14" s="78">
        <f>Sentralt!B11</f>
        <v>180000</v>
      </c>
      <c r="G14" s="79"/>
      <c r="H14" s="78"/>
      <c r="I14" s="79"/>
      <c r="J14" s="78"/>
      <c r="K14" s="79"/>
      <c r="L14" s="76"/>
      <c r="M14" s="80"/>
    </row>
    <row r="15" spans="1:14" x14ac:dyDescent="0.3">
      <c r="A15" s="74"/>
      <c r="B15" s="82" t="s">
        <v>20</v>
      </c>
      <c r="C15" s="83">
        <f t="shared" ref="C15:M15" si="1">SUM(C7:C14)</f>
        <v>4525000</v>
      </c>
      <c r="D15" s="83">
        <f t="shared" si="1"/>
        <v>4215000</v>
      </c>
      <c r="E15" s="83">
        <f t="shared" si="1"/>
        <v>4329150.0299999993</v>
      </c>
      <c r="F15" s="83">
        <f t="shared" si="1"/>
        <v>2759000</v>
      </c>
      <c r="G15" s="83">
        <f t="shared" si="1"/>
        <v>0</v>
      </c>
      <c r="H15" s="83">
        <f t="shared" si="1"/>
        <v>336000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1430000</v>
      </c>
      <c r="M15" s="88">
        <f t="shared" si="1"/>
        <v>0</v>
      </c>
    </row>
    <row r="16" spans="1:14" x14ac:dyDescent="0.3">
      <c r="A16" s="74"/>
      <c r="B16" s="82" t="s">
        <v>108</v>
      </c>
      <c r="C16" s="89">
        <f t="shared" ref="C16:M16" si="2">C6+C15</f>
        <v>6471129.4000000004</v>
      </c>
      <c r="D16" s="89">
        <f t="shared" si="2"/>
        <v>6111979</v>
      </c>
      <c r="E16" s="89">
        <f t="shared" si="2"/>
        <v>6294209.1199999992</v>
      </c>
      <c r="F16" s="89">
        <f t="shared" si="2"/>
        <v>3283600</v>
      </c>
      <c r="G16" s="89">
        <f t="shared" si="2"/>
        <v>0</v>
      </c>
      <c r="H16" s="89">
        <f t="shared" si="2"/>
        <v>1757529.4000000001</v>
      </c>
      <c r="I16" s="89">
        <f t="shared" si="2"/>
        <v>0</v>
      </c>
      <c r="J16" s="89">
        <f t="shared" si="2"/>
        <v>0</v>
      </c>
      <c r="K16" s="89">
        <f t="shared" si="2"/>
        <v>0</v>
      </c>
      <c r="L16" s="89">
        <f t="shared" si="2"/>
        <v>1430000</v>
      </c>
      <c r="M16" s="90">
        <f t="shared" si="2"/>
        <v>0</v>
      </c>
    </row>
    <row r="17" spans="1:14" x14ac:dyDescent="0.3">
      <c r="A17" s="74"/>
      <c r="B17" s="75"/>
      <c r="C17" s="78"/>
      <c r="D17" s="70"/>
      <c r="E17" s="70"/>
      <c r="F17" s="78"/>
      <c r="G17" s="79"/>
      <c r="H17" s="78"/>
      <c r="I17" s="79"/>
      <c r="J17" s="78"/>
      <c r="K17" s="79"/>
      <c r="L17" s="78"/>
      <c r="M17" s="80"/>
    </row>
    <row r="18" spans="1:14" x14ac:dyDescent="0.3">
      <c r="A18" s="74"/>
      <c r="B18" s="91" t="s">
        <v>109</v>
      </c>
      <c r="C18" s="78"/>
      <c r="D18" s="70"/>
      <c r="E18" s="70"/>
      <c r="F18" s="78"/>
      <c r="G18" s="79"/>
      <c r="H18" s="78"/>
      <c r="I18" s="79"/>
      <c r="J18" s="78"/>
      <c r="K18" s="79"/>
      <c r="L18" s="78"/>
      <c r="M18" s="80"/>
    </row>
    <row r="19" spans="1:14" x14ac:dyDescent="0.3">
      <c r="A19" s="74">
        <v>4010</v>
      </c>
      <c r="B19" s="75" t="s">
        <v>23</v>
      </c>
      <c r="C19" s="76">
        <f t="shared" ref="C19:C26" si="3">F19+H19+J19+L19</f>
        <v>358000</v>
      </c>
      <c r="D19" s="77">
        <v>328000</v>
      </c>
      <c r="E19" s="77">
        <f>Budsjettanalyse!F19</f>
        <v>354634.4</v>
      </c>
      <c r="F19" s="78">
        <f>Sentralt!B39</f>
        <v>180000</v>
      </c>
      <c r="G19" s="92"/>
      <c r="H19" s="78">
        <f>Program!H18</f>
        <v>178000</v>
      </c>
      <c r="I19" s="79"/>
      <c r="J19" s="78"/>
      <c r="K19" s="79"/>
      <c r="L19" s="78"/>
      <c r="M19" s="80"/>
    </row>
    <row r="20" spans="1:14" x14ac:dyDescent="0.3">
      <c r="A20" s="74">
        <v>4610</v>
      </c>
      <c r="B20" s="86" t="s">
        <v>110</v>
      </c>
      <c r="C20" s="76">
        <f t="shared" si="3"/>
        <v>710400</v>
      </c>
      <c r="D20" s="77">
        <v>740400</v>
      </c>
      <c r="E20" s="77">
        <f>Budsjettanalyse!F20</f>
        <v>835000</v>
      </c>
      <c r="F20" s="78"/>
      <c r="G20" s="79"/>
      <c r="H20" s="78">
        <f>Program!H20+Program!H21+Program!H22+Program!H23</f>
        <v>710400</v>
      </c>
      <c r="I20" s="79"/>
      <c r="J20" s="78"/>
      <c r="K20" s="79"/>
      <c r="L20" s="78"/>
      <c r="M20" s="80"/>
    </row>
    <row r="21" spans="1:14" x14ac:dyDescent="0.3">
      <c r="A21" s="74">
        <v>4615</v>
      </c>
      <c r="B21" s="75" t="s">
        <v>25</v>
      </c>
      <c r="C21" s="76">
        <f t="shared" si="3"/>
        <v>0</v>
      </c>
      <c r="D21" s="77"/>
      <c r="E21" s="77">
        <f>Budsjettanalyse!F21</f>
        <v>26493.19</v>
      </c>
      <c r="F21" s="78"/>
      <c r="G21" s="79"/>
      <c r="H21" s="78"/>
      <c r="I21" s="79"/>
      <c r="J21" s="78"/>
      <c r="K21" s="79"/>
      <c r="L21" s="78"/>
      <c r="M21" s="80"/>
    </row>
    <row r="22" spans="1:14" x14ac:dyDescent="0.3">
      <c r="A22" s="74">
        <v>4922</v>
      </c>
      <c r="B22" s="93" t="s">
        <v>111</v>
      </c>
      <c r="C22" s="76">
        <f t="shared" si="3"/>
        <v>473776.55160000001</v>
      </c>
      <c r="D22" s="77">
        <v>493937</v>
      </c>
      <c r="E22" s="77">
        <f>Budsjettanalyse!F22</f>
        <v>309375.59999999998</v>
      </c>
      <c r="F22" s="78">
        <f>Sentralt!B42+Sentralt!B71+Sentralt!B72</f>
        <v>32500</v>
      </c>
      <c r="G22" s="92"/>
      <c r="H22" s="78">
        <f>Program!H36+Program!H37</f>
        <v>441276.55160000001</v>
      </c>
      <c r="I22" s="79"/>
      <c r="J22" s="78"/>
      <c r="K22" s="79"/>
      <c r="L22" s="78"/>
      <c r="M22" s="80"/>
    </row>
    <row r="23" spans="1:14" x14ac:dyDescent="0.3">
      <c r="A23" s="60">
        <v>4927</v>
      </c>
      <c r="B23" s="75" t="s">
        <v>17</v>
      </c>
      <c r="C23" s="76">
        <f t="shared" si="3"/>
        <v>427500.00000000006</v>
      </c>
      <c r="D23" s="77">
        <v>427500</v>
      </c>
      <c r="E23" s="77">
        <f>Budsjettanalyse!F23</f>
        <v>386194</v>
      </c>
      <c r="F23" s="78">
        <f>Sentralt!B41</f>
        <v>427500.00000000006</v>
      </c>
      <c r="G23" s="92"/>
      <c r="H23" s="78"/>
      <c r="I23" s="79"/>
      <c r="J23" s="78"/>
      <c r="K23" s="79"/>
      <c r="L23" s="78"/>
      <c r="M23" s="80"/>
    </row>
    <row r="24" spans="1:14" x14ac:dyDescent="0.3">
      <c r="A24" s="60">
        <v>4928</v>
      </c>
      <c r="B24" s="75" t="s">
        <v>26</v>
      </c>
      <c r="C24" s="76">
        <f t="shared" si="3"/>
        <v>325000</v>
      </c>
      <c r="D24" s="77">
        <v>325000</v>
      </c>
      <c r="E24" s="77">
        <f>Budsjettanalyse!F24</f>
        <v>293355</v>
      </c>
      <c r="F24" s="78">
        <f>Sentralt!B44</f>
        <v>325000</v>
      </c>
      <c r="G24" s="92"/>
      <c r="H24" s="78"/>
      <c r="I24" s="79"/>
      <c r="J24" s="78"/>
      <c r="K24" s="79"/>
      <c r="L24" s="78"/>
      <c r="M24" s="80"/>
    </row>
    <row r="25" spans="1:14" x14ac:dyDescent="0.3">
      <c r="A25" s="60">
        <v>4929</v>
      </c>
      <c r="B25" s="75" t="s">
        <v>112</v>
      </c>
      <c r="C25" s="76">
        <f t="shared" si="3"/>
        <v>180000</v>
      </c>
      <c r="D25" s="77">
        <v>150000</v>
      </c>
      <c r="E25" s="77">
        <f>Budsjettanalyse!F25</f>
        <v>166350</v>
      </c>
      <c r="F25" s="78">
        <f>Sentralt!B45</f>
        <v>180000</v>
      </c>
      <c r="G25" s="92"/>
      <c r="H25" s="78"/>
      <c r="I25" s="79"/>
      <c r="J25" s="78"/>
      <c r="K25" s="79"/>
      <c r="L25" s="78"/>
      <c r="M25" s="80"/>
    </row>
    <row r="26" spans="1:14" x14ac:dyDescent="0.3">
      <c r="A26" s="60">
        <v>4930</v>
      </c>
      <c r="B26" s="75" t="s">
        <v>28</v>
      </c>
      <c r="C26" s="76">
        <f t="shared" si="3"/>
        <v>150000</v>
      </c>
      <c r="D26" s="77">
        <v>140000</v>
      </c>
      <c r="E26" s="77">
        <f>Budsjettanalyse!F26</f>
        <v>13240</v>
      </c>
      <c r="F26" s="78"/>
      <c r="G26" s="92"/>
      <c r="H26" s="78"/>
      <c r="I26" s="79"/>
      <c r="J26" s="78"/>
      <c r="K26" s="79"/>
      <c r="L26" s="78">
        <f>Prosjekter!F6</f>
        <v>150000</v>
      </c>
      <c r="M26" s="80"/>
    </row>
    <row r="27" spans="1:14" x14ac:dyDescent="0.3">
      <c r="B27" s="94" t="s">
        <v>29</v>
      </c>
      <c r="C27" s="83">
        <f t="shared" ref="C27:M27" si="4">SUM(C19:C26)</f>
        <v>2624676.5515999999</v>
      </c>
      <c r="D27" s="83">
        <f t="shared" si="4"/>
        <v>2604837</v>
      </c>
      <c r="E27" s="83">
        <f t="shared" si="4"/>
        <v>2384642.19</v>
      </c>
      <c r="F27" s="83">
        <f t="shared" si="4"/>
        <v>1145000</v>
      </c>
      <c r="G27" s="83">
        <f t="shared" si="4"/>
        <v>0</v>
      </c>
      <c r="H27" s="83">
        <f t="shared" si="4"/>
        <v>1329676.5515999999</v>
      </c>
      <c r="I27" s="83">
        <f t="shared" si="4"/>
        <v>0</v>
      </c>
      <c r="J27" s="83">
        <f t="shared" si="4"/>
        <v>0</v>
      </c>
      <c r="K27" s="83">
        <f t="shared" si="4"/>
        <v>0</v>
      </c>
      <c r="L27" s="83">
        <f t="shared" si="4"/>
        <v>150000</v>
      </c>
      <c r="M27" s="83">
        <f t="shared" si="4"/>
        <v>0</v>
      </c>
    </row>
    <row r="28" spans="1:14" x14ac:dyDescent="0.3">
      <c r="A28" s="60">
        <v>5000</v>
      </c>
      <c r="B28" s="75" t="s">
        <v>30</v>
      </c>
      <c r="C28" s="76">
        <f t="shared" ref="C28:C39" si="5">F28+H28+J28+L28</f>
        <v>0</v>
      </c>
      <c r="D28" s="77">
        <v>556050</v>
      </c>
      <c r="E28" s="77">
        <f>Budsjettanalyse!F29</f>
        <v>0</v>
      </c>
      <c r="F28" s="78"/>
      <c r="G28" s="92"/>
      <c r="H28" s="78"/>
      <c r="I28" s="79"/>
      <c r="J28" s="78"/>
      <c r="K28" s="79"/>
      <c r="L28" s="78"/>
      <c r="M28" s="80"/>
    </row>
    <row r="29" spans="1:14" x14ac:dyDescent="0.3">
      <c r="A29" s="60">
        <v>5001</v>
      </c>
      <c r="B29" s="75" t="s">
        <v>31</v>
      </c>
      <c r="C29" s="76">
        <f t="shared" si="5"/>
        <v>0</v>
      </c>
      <c r="D29" s="77"/>
      <c r="E29" s="77">
        <f>Budsjettanalyse!F30</f>
        <v>0</v>
      </c>
      <c r="F29" s="78"/>
      <c r="G29" s="92"/>
      <c r="H29" s="78"/>
      <c r="I29" s="79"/>
      <c r="J29" s="78"/>
      <c r="K29" s="79"/>
      <c r="L29" s="78"/>
      <c r="M29" s="80"/>
    </row>
    <row r="30" spans="1:14" x14ac:dyDescent="0.3">
      <c r="A30" s="60">
        <v>5002</v>
      </c>
      <c r="B30" s="75" t="s">
        <v>113</v>
      </c>
      <c r="C30" s="76">
        <f t="shared" si="5"/>
        <v>280000</v>
      </c>
      <c r="D30" s="77">
        <v>280000</v>
      </c>
      <c r="E30" s="77">
        <f>Budsjettanalyse!F31</f>
        <v>349781.43</v>
      </c>
      <c r="F30" s="78">
        <f>Sentralt!G81</f>
        <v>140000</v>
      </c>
      <c r="G30" s="92"/>
      <c r="H30" s="78"/>
      <c r="I30" s="79"/>
      <c r="J30" s="78"/>
      <c r="K30" s="79"/>
      <c r="L30" s="78">
        <f>Prosjekter!E10+Prosjekter!E11</f>
        <v>140000</v>
      </c>
      <c r="M30" s="80"/>
      <c r="N30" s="80"/>
    </row>
    <row r="31" spans="1:14" x14ac:dyDescent="0.3">
      <c r="A31" s="60">
        <v>5010</v>
      </c>
      <c r="B31" s="75" t="s">
        <v>33</v>
      </c>
      <c r="C31" s="76">
        <f t="shared" si="5"/>
        <v>556050</v>
      </c>
      <c r="D31" s="77"/>
      <c r="E31" s="77">
        <f>Budsjettanalyse!F32</f>
        <v>611199.1</v>
      </c>
      <c r="F31" s="78">
        <f>Sentralt!B55+Sentralt!B68</f>
        <v>556050</v>
      </c>
      <c r="G31" s="92"/>
      <c r="H31" s="78"/>
      <c r="I31" s="79"/>
      <c r="J31" s="78"/>
      <c r="K31" s="79"/>
      <c r="L31" s="78"/>
      <c r="M31" s="80"/>
    </row>
    <row r="32" spans="1:14" x14ac:dyDescent="0.3">
      <c r="A32" s="74">
        <v>5190</v>
      </c>
      <c r="B32" s="75" t="s">
        <v>34</v>
      </c>
      <c r="C32" s="76">
        <f t="shared" si="5"/>
        <v>56717.1</v>
      </c>
      <c r="D32" s="77">
        <v>56717</v>
      </c>
      <c r="E32" s="77">
        <f>Budsjettanalyse!F33</f>
        <v>68034.25</v>
      </c>
      <c r="F32" s="78">
        <f>Sentralt!B57</f>
        <v>56717.1</v>
      </c>
      <c r="G32" s="92"/>
      <c r="H32" s="78"/>
      <c r="I32" s="79"/>
      <c r="J32" s="78"/>
      <c r="K32" s="79"/>
      <c r="L32" s="78"/>
      <c r="M32" s="80"/>
    </row>
    <row r="33" spans="1:13" x14ac:dyDescent="0.3">
      <c r="A33" s="74">
        <v>5240</v>
      </c>
      <c r="B33" s="95" t="s">
        <v>114</v>
      </c>
      <c r="C33" s="76">
        <f t="shared" si="5"/>
        <v>0</v>
      </c>
      <c r="D33" s="77"/>
      <c r="E33" s="77">
        <f>Budsjettanalyse!F34</f>
        <v>0</v>
      </c>
      <c r="F33" s="78"/>
      <c r="G33" s="79"/>
      <c r="H33" s="78"/>
      <c r="I33" s="79"/>
      <c r="J33" s="78"/>
      <c r="K33" s="79"/>
      <c r="L33" s="78"/>
      <c r="M33" s="80"/>
    </row>
    <row r="34" spans="1:13" x14ac:dyDescent="0.3">
      <c r="A34" s="74">
        <v>5280</v>
      </c>
      <c r="B34" s="75" t="s">
        <v>36</v>
      </c>
      <c r="C34" s="76">
        <f t="shared" si="5"/>
        <v>0</v>
      </c>
      <c r="D34" s="77"/>
      <c r="E34" s="77">
        <f>Budsjettanalyse!F35</f>
        <v>0</v>
      </c>
      <c r="F34" s="78"/>
      <c r="G34" s="79"/>
      <c r="H34" s="78"/>
      <c r="I34" s="79"/>
      <c r="J34" s="78"/>
      <c r="K34" s="79"/>
      <c r="L34" s="78"/>
      <c r="M34" s="80"/>
    </row>
    <row r="35" spans="1:13" x14ac:dyDescent="0.3">
      <c r="A35" s="74">
        <v>5410</v>
      </c>
      <c r="B35" s="75" t="s">
        <v>37</v>
      </c>
      <c r="C35" s="76">
        <f t="shared" si="5"/>
        <v>81714.082500000004</v>
      </c>
      <c r="D35" s="77">
        <v>81714</v>
      </c>
      <c r="E35" s="77">
        <f>Budsjettanalyse!F36</f>
        <v>88427.11</v>
      </c>
      <c r="F35" s="78">
        <f>Sentralt!B58</f>
        <v>81714.082500000004</v>
      </c>
      <c r="G35" s="92"/>
      <c r="H35" s="78"/>
      <c r="I35" s="79"/>
      <c r="J35" s="78"/>
      <c r="K35" s="79"/>
      <c r="L35" s="78"/>
      <c r="M35" s="80"/>
    </row>
    <row r="36" spans="1:13" x14ac:dyDescent="0.3">
      <c r="A36" s="74">
        <v>5411</v>
      </c>
      <c r="B36" s="75" t="s">
        <v>115</v>
      </c>
      <c r="C36" s="76">
        <f t="shared" si="5"/>
        <v>0</v>
      </c>
      <c r="D36" s="77"/>
      <c r="E36" s="77">
        <f>Budsjettanalyse!F37</f>
        <v>9592.83</v>
      </c>
      <c r="F36" s="78"/>
      <c r="G36" s="92"/>
      <c r="H36" s="78"/>
      <c r="I36" s="79"/>
      <c r="J36" s="78"/>
      <c r="K36" s="79"/>
      <c r="L36" s="78"/>
      <c r="M36" s="80"/>
    </row>
    <row r="37" spans="1:13" x14ac:dyDescent="0.3">
      <c r="A37" s="74">
        <v>5950</v>
      </c>
      <c r="B37" s="75" t="s">
        <v>39</v>
      </c>
      <c r="C37" s="76">
        <f t="shared" si="5"/>
        <v>2000</v>
      </c>
      <c r="D37" s="77"/>
      <c r="E37" s="77">
        <f>Budsjettanalyse!F38</f>
        <v>1091</v>
      </c>
      <c r="F37" s="78">
        <f>Sentralt!B69</f>
        <v>2000</v>
      </c>
      <c r="G37" s="92"/>
      <c r="H37" s="78"/>
      <c r="I37" s="79"/>
      <c r="J37" s="78"/>
      <c r="K37" s="79"/>
      <c r="L37" s="78"/>
      <c r="M37" s="80"/>
    </row>
    <row r="38" spans="1:13" x14ac:dyDescent="0.3">
      <c r="A38" s="74">
        <v>5955</v>
      </c>
      <c r="B38" s="75" t="s">
        <v>40</v>
      </c>
      <c r="C38" s="76">
        <f t="shared" si="5"/>
        <v>23482.5</v>
      </c>
      <c r="D38" s="77">
        <v>23483</v>
      </c>
      <c r="E38" s="77">
        <f>Budsjettanalyse!F39</f>
        <v>17267.849999999999</v>
      </c>
      <c r="F38" s="78">
        <f>Sentralt!B56</f>
        <v>23482.5</v>
      </c>
      <c r="G38" s="92"/>
      <c r="H38" s="78"/>
      <c r="I38" s="79"/>
      <c r="J38" s="78"/>
      <c r="K38" s="79"/>
      <c r="L38" s="78"/>
      <c r="M38" s="80"/>
    </row>
    <row r="39" spans="1:13" x14ac:dyDescent="0.3">
      <c r="A39" s="74">
        <v>5999</v>
      </c>
      <c r="B39" s="75" t="s">
        <v>41</v>
      </c>
      <c r="C39" s="76">
        <f t="shared" si="5"/>
        <v>0</v>
      </c>
      <c r="D39" s="77"/>
      <c r="E39" s="77">
        <f>Budsjettanalyse!F40</f>
        <v>0</v>
      </c>
      <c r="F39" s="78"/>
      <c r="G39" s="79"/>
      <c r="H39" s="78"/>
      <c r="I39" s="79"/>
      <c r="J39" s="78"/>
      <c r="K39" s="79"/>
      <c r="L39" s="78"/>
      <c r="M39" s="80"/>
    </row>
    <row r="40" spans="1:13" x14ac:dyDescent="0.3">
      <c r="A40" s="74"/>
      <c r="B40" s="94" t="s">
        <v>116</v>
      </c>
      <c r="C40" s="83">
        <f>SUM(C28:C39)</f>
        <v>999963.6825</v>
      </c>
      <c r="D40" s="83">
        <f>SUM(D28:D39)</f>
        <v>997964</v>
      </c>
      <c r="E40" s="83">
        <f>SUM(E28:E39)</f>
        <v>1145393.5700000003</v>
      </c>
      <c r="F40" s="83">
        <f>SUM(F28:F39)</f>
        <v>859963.6825</v>
      </c>
      <c r="G40" s="84"/>
      <c r="H40" s="83">
        <f>SUM(H28:H39)</f>
        <v>0</v>
      </c>
      <c r="I40" s="84"/>
      <c r="J40" s="83">
        <f>SUM(J28:J39)</f>
        <v>0</v>
      </c>
      <c r="K40" s="84"/>
      <c r="L40" s="83">
        <f>SUM(L28:L39)</f>
        <v>140000</v>
      </c>
      <c r="M40" s="85"/>
    </row>
    <row r="41" spans="1:13" x14ac:dyDescent="0.3">
      <c r="A41" s="60">
        <v>6300</v>
      </c>
      <c r="B41" s="95" t="s">
        <v>43</v>
      </c>
      <c r="C41" s="76">
        <f t="shared" ref="C41:C72" si="6">F41+H41+J41+L41</f>
        <v>122400</v>
      </c>
      <c r="D41" s="77">
        <v>122400</v>
      </c>
      <c r="E41" s="77">
        <f>Budsjettanalyse!F43</f>
        <v>122880</v>
      </c>
      <c r="F41" s="78">
        <f>Sentralt!B62</f>
        <v>122400</v>
      </c>
      <c r="G41" s="92"/>
      <c r="H41" s="78"/>
      <c r="I41" s="79"/>
      <c r="J41" s="78"/>
      <c r="K41" s="79"/>
      <c r="L41" s="78"/>
      <c r="M41" s="80"/>
    </row>
    <row r="42" spans="1:13" x14ac:dyDescent="0.3">
      <c r="A42" s="60">
        <v>6301</v>
      </c>
      <c r="B42" s="95" t="s">
        <v>44</v>
      </c>
      <c r="C42" s="76">
        <f t="shared" si="6"/>
        <v>134000</v>
      </c>
      <c r="D42" s="77"/>
      <c r="E42" s="77">
        <f>Budsjettanalyse!F44</f>
        <v>149730</v>
      </c>
      <c r="F42" s="78">
        <f>Sentralt!B51+Sentralt!E22+Sentralt!E25</f>
        <v>134000</v>
      </c>
      <c r="G42" s="92"/>
      <c r="H42" s="78"/>
      <c r="I42" s="79"/>
      <c r="J42" s="78"/>
      <c r="K42" s="79"/>
      <c r="L42" s="78"/>
      <c r="M42" s="80"/>
    </row>
    <row r="43" spans="1:13" x14ac:dyDescent="0.3">
      <c r="A43" s="60">
        <v>6340</v>
      </c>
      <c r="B43" s="95" t="s">
        <v>45</v>
      </c>
      <c r="C43" s="76">
        <f t="shared" si="6"/>
        <v>0</v>
      </c>
      <c r="D43" s="77"/>
      <c r="E43" s="77">
        <f>Budsjettanalyse!F45</f>
        <v>0</v>
      </c>
      <c r="F43" s="78"/>
      <c r="G43" s="79"/>
      <c r="H43" s="78"/>
      <c r="I43" s="79"/>
      <c r="J43" s="78"/>
      <c r="K43" s="79"/>
      <c r="L43" s="78"/>
      <c r="M43" s="80"/>
    </row>
    <row r="44" spans="1:13" x14ac:dyDescent="0.3">
      <c r="A44" s="74">
        <v>6430</v>
      </c>
      <c r="B44" s="95" t="s">
        <v>46</v>
      </c>
      <c r="C44" s="76">
        <f t="shared" si="6"/>
        <v>30000</v>
      </c>
      <c r="D44" s="77">
        <v>30000</v>
      </c>
      <c r="E44" s="77">
        <f>Budsjettanalyse!F46</f>
        <v>29413</v>
      </c>
      <c r="F44" s="78">
        <f>Sentralt!B64</f>
        <v>30000</v>
      </c>
      <c r="G44" s="92"/>
      <c r="H44" s="78"/>
      <c r="I44" s="79"/>
      <c r="J44" s="78"/>
      <c r="K44" s="79"/>
      <c r="L44" s="78"/>
      <c r="M44" s="80"/>
    </row>
    <row r="45" spans="1:13" x14ac:dyDescent="0.3">
      <c r="A45" s="74">
        <v>6550</v>
      </c>
      <c r="B45" s="95" t="s">
        <v>47</v>
      </c>
      <c r="C45" s="76">
        <f t="shared" si="6"/>
        <v>5000</v>
      </c>
      <c r="D45" s="77">
        <v>15000</v>
      </c>
      <c r="E45" s="77">
        <f>Budsjettanalyse!F47</f>
        <v>1410.57</v>
      </c>
      <c r="F45" s="78">
        <f>Sentralt!B65</f>
        <v>5000</v>
      </c>
      <c r="G45" s="92"/>
      <c r="H45" s="78"/>
      <c r="I45" s="79"/>
      <c r="J45" s="78"/>
      <c r="K45" s="79"/>
      <c r="L45" s="78"/>
      <c r="M45" s="80"/>
    </row>
    <row r="46" spans="1:13" x14ac:dyDescent="0.3">
      <c r="A46" s="74">
        <v>6560</v>
      </c>
      <c r="B46" s="95" t="s">
        <v>48</v>
      </c>
      <c r="C46" s="76">
        <f t="shared" si="6"/>
        <v>0</v>
      </c>
      <c r="D46" s="77"/>
      <c r="E46" s="77">
        <f>Budsjettanalyse!F48</f>
        <v>29384.799999999999</v>
      </c>
      <c r="F46" s="78"/>
      <c r="G46" s="92"/>
      <c r="H46" s="78"/>
      <c r="I46" s="79"/>
      <c r="J46" s="78"/>
      <c r="K46" s="79"/>
      <c r="L46" s="78"/>
      <c r="M46" s="80"/>
    </row>
    <row r="47" spans="1:13" x14ac:dyDescent="0.3">
      <c r="A47" s="74">
        <v>6700</v>
      </c>
      <c r="B47" s="95" t="s">
        <v>117</v>
      </c>
      <c r="C47" s="76">
        <f t="shared" si="6"/>
        <v>200000</v>
      </c>
      <c r="D47" s="77">
        <v>200000</v>
      </c>
      <c r="E47" s="77">
        <f>Budsjettanalyse!F49</f>
        <v>233749</v>
      </c>
      <c r="F47" s="78">
        <f>Sentralt!B36</f>
        <v>200000</v>
      </c>
      <c r="G47" s="92"/>
      <c r="H47" s="78"/>
      <c r="I47" s="79"/>
      <c r="J47" s="78"/>
      <c r="K47" s="79"/>
      <c r="L47" s="78"/>
      <c r="M47" s="80"/>
    </row>
    <row r="48" spans="1:13" x14ac:dyDescent="0.3">
      <c r="A48" s="74">
        <v>6720</v>
      </c>
      <c r="B48" s="95" t="s">
        <v>118</v>
      </c>
      <c r="C48" s="76">
        <f t="shared" si="6"/>
        <v>0</v>
      </c>
      <c r="D48" s="77"/>
      <c r="E48" s="77">
        <f>Budsjettanalyse!F50</f>
        <v>0</v>
      </c>
      <c r="F48" s="78"/>
      <c r="G48" s="92"/>
      <c r="H48" s="78"/>
      <c r="I48" s="79"/>
      <c r="J48" s="78"/>
      <c r="K48" s="79"/>
      <c r="L48" s="78"/>
      <c r="M48" s="80"/>
    </row>
    <row r="49" spans="1:13" x14ac:dyDescent="0.3">
      <c r="A49" s="74">
        <v>6800</v>
      </c>
      <c r="B49" s="95" t="s">
        <v>51</v>
      </c>
      <c r="C49" s="76">
        <f t="shared" si="6"/>
        <v>15000</v>
      </c>
      <c r="D49" s="77">
        <v>25000</v>
      </c>
      <c r="E49" s="77">
        <f>Budsjettanalyse!F51</f>
        <v>15285.79</v>
      </c>
      <c r="F49" s="78">
        <f>Sentralt!B60</f>
        <v>15000</v>
      </c>
      <c r="G49" s="92"/>
      <c r="H49" s="78"/>
      <c r="I49" s="79"/>
      <c r="J49" s="78"/>
      <c r="K49" s="79"/>
      <c r="L49" s="78"/>
      <c r="M49" s="80"/>
    </row>
    <row r="50" spans="1:13" x14ac:dyDescent="0.3">
      <c r="A50" s="74">
        <v>6810</v>
      </c>
      <c r="B50" s="95" t="s">
        <v>52</v>
      </c>
      <c r="C50" s="76">
        <f t="shared" si="6"/>
        <v>80000</v>
      </c>
      <c r="D50" s="77">
        <v>70000</v>
      </c>
      <c r="E50" s="77">
        <f>Budsjettanalyse!F52</f>
        <v>102702.19</v>
      </c>
      <c r="F50" s="78">
        <f>Sentralt!B35+Sentralt!B38</f>
        <v>80000</v>
      </c>
      <c r="G50" s="92"/>
      <c r="H50" s="78"/>
      <c r="I50" s="79"/>
      <c r="J50" s="78"/>
      <c r="K50" s="79"/>
      <c r="L50" s="78"/>
      <c r="M50" s="80"/>
    </row>
    <row r="51" spans="1:13" x14ac:dyDescent="0.3">
      <c r="A51" s="74">
        <v>6820</v>
      </c>
      <c r="B51" s="95" t="s">
        <v>53</v>
      </c>
      <c r="C51" s="76">
        <f t="shared" si="6"/>
        <v>120000</v>
      </c>
      <c r="D51" s="77">
        <v>120000</v>
      </c>
      <c r="E51" s="77">
        <f>Budsjettanalyse!F53</f>
        <v>116372</v>
      </c>
      <c r="F51" s="78">
        <f>Sentralt!B46+Sentralt!B47+Sentralt!B48+Sentralt!B63+Sentralt!F78</f>
        <v>120000</v>
      </c>
      <c r="G51" s="92"/>
      <c r="H51" s="78"/>
      <c r="I51" s="79"/>
      <c r="J51" s="78"/>
      <c r="K51" s="79"/>
      <c r="L51" s="78"/>
      <c r="M51" s="80"/>
    </row>
    <row r="52" spans="1:13" x14ac:dyDescent="0.3">
      <c r="A52" s="74">
        <v>6840</v>
      </c>
      <c r="B52" s="95" t="s">
        <v>119</v>
      </c>
      <c r="C52" s="76">
        <f t="shared" si="6"/>
        <v>0</v>
      </c>
      <c r="D52" s="77"/>
      <c r="E52" s="77">
        <f>Budsjettanalyse!F54</f>
        <v>0</v>
      </c>
      <c r="F52" s="78"/>
      <c r="G52" s="92"/>
      <c r="H52" s="78"/>
      <c r="I52" s="79"/>
      <c r="J52" s="78"/>
      <c r="K52" s="79"/>
      <c r="L52" s="78"/>
      <c r="M52" s="80"/>
    </row>
    <row r="53" spans="1:13" x14ac:dyDescent="0.3">
      <c r="A53" s="74">
        <v>6860</v>
      </c>
      <c r="B53" s="95" t="s">
        <v>120</v>
      </c>
      <c r="C53" s="76">
        <f t="shared" si="6"/>
        <v>0</v>
      </c>
      <c r="D53" s="77"/>
      <c r="E53" s="77">
        <f>Budsjettanalyse!F55</f>
        <v>46172.72</v>
      </c>
      <c r="F53" s="78"/>
      <c r="G53" s="79"/>
      <c r="H53" s="78"/>
      <c r="I53" s="79"/>
      <c r="J53" s="78"/>
      <c r="K53" s="79"/>
      <c r="L53" s="78"/>
      <c r="M53" s="80"/>
    </row>
    <row r="54" spans="1:13" x14ac:dyDescent="0.3">
      <c r="A54" s="60">
        <v>6868</v>
      </c>
      <c r="B54" s="95" t="s">
        <v>56</v>
      </c>
      <c r="C54" s="76">
        <f t="shared" si="6"/>
        <v>185732.5</v>
      </c>
      <c r="D54" s="77">
        <v>184328</v>
      </c>
      <c r="E54" s="77">
        <f>Budsjettanalyse!F56</f>
        <v>169858.84</v>
      </c>
      <c r="F54" s="78">
        <f>Sentralt!B59</f>
        <v>10000</v>
      </c>
      <c r="G54" s="92"/>
      <c r="H54" s="78">
        <f>Program!H25+Program!H27+Program!H29+Program!H31+Program!H33+Program!H35</f>
        <v>175732.5</v>
      </c>
      <c r="I54" s="79"/>
      <c r="J54" s="78"/>
      <c r="K54" s="79"/>
      <c r="L54" s="78"/>
      <c r="M54" s="80"/>
    </row>
    <row r="55" spans="1:13" x14ac:dyDescent="0.3">
      <c r="A55" s="60">
        <v>6900</v>
      </c>
      <c r="B55" s="95" t="s">
        <v>57</v>
      </c>
      <c r="C55" s="76">
        <f t="shared" si="6"/>
        <v>10000</v>
      </c>
      <c r="D55" s="77">
        <v>10000</v>
      </c>
      <c r="E55" s="77">
        <f>Budsjettanalyse!F57</f>
        <v>8454.64</v>
      </c>
      <c r="F55" s="78">
        <f>Sentralt!B67</f>
        <v>10000</v>
      </c>
      <c r="G55" s="92"/>
      <c r="H55" s="78"/>
      <c r="I55" s="79"/>
      <c r="J55" s="78"/>
      <c r="K55" s="79"/>
      <c r="L55" s="78"/>
      <c r="M55" s="80"/>
    </row>
    <row r="56" spans="1:13" x14ac:dyDescent="0.3">
      <c r="A56" s="74">
        <v>6940</v>
      </c>
      <c r="B56" s="95" t="s">
        <v>58</v>
      </c>
      <c r="C56" s="76">
        <f t="shared" si="6"/>
        <v>90000</v>
      </c>
      <c r="D56" s="77">
        <v>90000</v>
      </c>
      <c r="E56" s="77">
        <f>Budsjettanalyse!F58</f>
        <v>85446.41</v>
      </c>
      <c r="F56" s="78">
        <f>Sentralt!B66</f>
        <v>90000</v>
      </c>
      <c r="G56" s="92"/>
      <c r="H56" s="78"/>
      <c r="I56" s="79"/>
      <c r="J56" s="78"/>
      <c r="K56" s="79"/>
      <c r="L56" s="78"/>
      <c r="M56" s="80"/>
    </row>
    <row r="57" spans="1:13" x14ac:dyDescent="0.3">
      <c r="A57" s="74">
        <v>6960</v>
      </c>
      <c r="B57" s="95" t="s">
        <v>59</v>
      </c>
      <c r="C57" s="76">
        <f t="shared" si="6"/>
        <v>10000</v>
      </c>
      <c r="D57" s="77">
        <v>10000</v>
      </c>
      <c r="E57" s="77">
        <f>Budsjettanalyse!F59</f>
        <v>9972.4</v>
      </c>
      <c r="F57" s="78">
        <f>Sentralt!B70</f>
        <v>10000</v>
      </c>
      <c r="G57" s="92"/>
      <c r="H57" s="78"/>
      <c r="I57" s="79"/>
      <c r="J57" s="78"/>
      <c r="K57" s="79"/>
      <c r="L57" s="78"/>
      <c r="M57" s="80"/>
    </row>
    <row r="58" spans="1:13" x14ac:dyDescent="0.3">
      <c r="A58" s="74">
        <v>7000</v>
      </c>
      <c r="B58" s="95" t="s">
        <v>60</v>
      </c>
      <c r="C58" s="76">
        <f t="shared" si="6"/>
        <v>2000</v>
      </c>
      <c r="D58" s="77"/>
      <c r="E58" s="77">
        <f>Budsjettanalyse!F60</f>
        <v>1517.64</v>
      </c>
      <c r="F58" s="78">
        <f>Sentralt!B49</f>
        <v>2000</v>
      </c>
      <c r="G58" s="92"/>
      <c r="H58" s="78"/>
      <c r="I58" s="79"/>
      <c r="J58" s="78"/>
      <c r="K58" s="79"/>
      <c r="L58" s="78"/>
      <c r="M58" s="80"/>
    </row>
    <row r="59" spans="1:13" x14ac:dyDescent="0.3">
      <c r="A59" s="74">
        <v>7040</v>
      </c>
      <c r="B59" s="95" t="s">
        <v>61</v>
      </c>
      <c r="C59" s="76">
        <f t="shared" si="6"/>
        <v>7500</v>
      </c>
      <c r="D59" s="77">
        <v>7500</v>
      </c>
      <c r="E59" s="77">
        <f>Budsjettanalyse!F61</f>
        <v>7008.85</v>
      </c>
      <c r="F59" s="78">
        <f>Sentralt!B61</f>
        <v>7500</v>
      </c>
      <c r="G59" s="92"/>
      <c r="H59" s="78"/>
      <c r="I59" s="79"/>
      <c r="J59" s="78"/>
      <c r="K59" s="79"/>
      <c r="L59" s="78"/>
      <c r="M59" s="80"/>
    </row>
    <row r="60" spans="1:13" x14ac:dyDescent="0.3">
      <c r="A60" s="74">
        <v>7105</v>
      </c>
      <c r="B60" s="95" t="s">
        <v>62</v>
      </c>
      <c r="C60" s="76">
        <f t="shared" si="6"/>
        <v>0</v>
      </c>
      <c r="D60" s="77"/>
      <c r="E60" s="77">
        <f>Budsjettanalyse!F62</f>
        <v>0</v>
      </c>
      <c r="F60" s="78"/>
      <c r="G60" s="79"/>
      <c r="H60" s="78"/>
      <c r="I60" s="79"/>
      <c r="J60" s="78"/>
      <c r="K60" s="79"/>
      <c r="L60" s="78"/>
      <c r="M60" s="80"/>
    </row>
    <row r="61" spans="1:13" x14ac:dyDescent="0.3">
      <c r="A61" s="74">
        <v>7140</v>
      </c>
      <c r="B61" s="95" t="s">
        <v>121</v>
      </c>
      <c r="C61" s="76">
        <f t="shared" si="6"/>
        <v>436868.7</v>
      </c>
      <c r="D61" s="77">
        <v>439003</v>
      </c>
      <c r="E61" s="77">
        <f>Budsjettanalyse!F63</f>
        <v>607201.93999999994</v>
      </c>
      <c r="F61" s="78">
        <f>Sentralt!B32+Sentralt!C32+Sentralt!B82+Sentralt!C82+Sentralt!B87+Sentralt!C87+Sentralt!F79</f>
        <v>122750</v>
      </c>
      <c r="G61" s="92"/>
      <c r="H61" s="78">
        <f>Program!H24+Program!H26+Program!H28+Program!H30+Program!H32+Program!H34</f>
        <v>203118.7</v>
      </c>
      <c r="I61" s="79"/>
      <c r="J61" s="78">
        <f>Komiteer!M3+Komiteer!M4+Komiteer!M5+Komiteer!M8+Komiteer!M9+Komiteer!M10+Komiteer!M11+Komiteer!M12+Komiteer!M13+Komiteer!M14+Komiteer!M15+Komiteer!M16</f>
        <v>111000</v>
      </c>
      <c r="K61" s="79"/>
      <c r="L61" s="78"/>
      <c r="M61" s="80"/>
    </row>
    <row r="62" spans="1:13" x14ac:dyDescent="0.3">
      <c r="A62" s="74">
        <v>7145</v>
      </c>
      <c r="B62" s="95" t="s">
        <v>64</v>
      </c>
      <c r="C62" s="76">
        <f t="shared" si="6"/>
        <v>424200</v>
      </c>
      <c r="D62" s="77">
        <v>424200</v>
      </c>
      <c r="E62" s="77">
        <f>Budsjettanalyse!F64</f>
        <v>373316.87</v>
      </c>
      <c r="F62" s="78">
        <f>Sentralt!D32+Sentralt!F32+Sentralt!D82+Sentralt!D87</f>
        <v>424200</v>
      </c>
      <c r="G62" s="92"/>
      <c r="H62" s="78"/>
      <c r="I62" s="79"/>
      <c r="J62" s="78"/>
      <c r="K62" s="79"/>
      <c r="L62" s="78"/>
      <c r="M62" s="80"/>
    </row>
    <row r="63" spans="1:13" x14ac:dyDescent="0.3">
      <c r="A63" s="74">
        <v>7360</v>
      </c>
      <c r="B63" s="95" t="s">
        <v>122</v>
      </c>
      <c r="C63" s="76">
        <f t="shared" si="6"/>
        <v>0</v>
      </c>
      <c r="D63" s="77"/>
      <c r="E63" s="77">
        <f>Budsjettanalyse!F65</f>
        <v>0</v>
      </c>
      <c r="F63" s="78"/>
      <c r="G63" s="79"/>
      <c r="H63" s="78"/>
      <c r="I63" s="79"/>
      <c r="J63" s="78"/>
      <c r="K63" s="79"/>
      <c r="L63" s="78"/>
      <c r="M63" s="80"/>
    </row>
    <row r="64" spans="1:13" x14ac:dyDescent="0.3">
      <c r="A64" s="74">
        <v>7600</v>
      </c>
      <c r="B64" s="95" t="s">
        <v>123</v>
      </c>
      <c r="C64" s="76">
        <f t="shared" si="6"/>
        <v>0</v>
      </c>
      <c r="D64" s="77"/>
      <c r="E64" s="77">
        <f>Budsjettanalyse!F66</f>
        <v>0</v>
      </c>
      <c r="F64" s="78"/>
      <c r="G64" s="92"/>
      <c r="H64" s="78"/>
      <c r="I64" s="79"/>
      <c r="J64" s="78"/>
      <c r="K64" s="79"/>
      <c r="L64" s="78"/>
      <c r="M64" s="80"/>
    </row>
    <row r="65" spans="1:17" x14ac:dyDescent="0.3">
      <c r="A65" s="74">
        <v>7601</v>
      </c>
      <c r="B65" s="95" t="s">
        <v>67</v>
      </c>
      <c r="C65" s="76">
        <f t="shared" si="6"/>
        <v>15000</v>
      </c>
      <c r="D65" s="77">
        <v>9000</v>
      </c>
      <c r="E65" s="77">
        <f>Budsjettanalyse!F67</f>
        <v>15275</v>
      </c>
      <c r="F65" s="78">
        <f>Sentralt!B37</f>
        <v>15000</v>
      </c>
      <c r="G65" s="92"/>
      <c r="H65" s="78"/>
      <c r="I65" s="79"/>
      <c r="J65" s="78"/>
      <c r="K65" s="79"/>
      <c r="L65" s="78"/>
      <c r="M65" s="80"/>
    </row>
    <row r="66" spans="1:17" x14ac:dyDescent="0.3">
      <c r="A66" s="74">
        <v>7610</v>
      </c>
      <c r="B66" s="95" t="s">
        <v>68</v>
      </c>
      <c r="C66" s="76">
        <f t="shared" si="6"/>
        <v>921000</v>
      </c>
      <c r="D66" s="77">
        <v>881000</v>
      </c>
      <c r="E66" s="77">
        <f>Budsjettanalyse!F68</f>
        <v>307449.56</v>
      </c>
      <c r="F66" s="78"/>
      <c r="G66" s="92"/>
      <c r="H66" s="78"/>
      <c r="I66" s="79"/>
      <c r="J66" s="78">
        <f>Komiteer!M6+Komiteer!M7</f>
        <v>11000</v>
      </c>
      <c r="K66" s="79"/>
      <c r="L66" s="78">
        <f>(Prosjekter!F16-Prosjekter!F11-Prosjekter!F10-Prosjekter!F6)</f>
        <v>910000</v>
      </c>
      <c r="M66" s="80"/>
      <c r="Q66" s="96">
        <f>Program!H38-Budsjett_enkel!H74</f>
        <v>223800.00000000023</v>
      </c>
    </row>
    <row r="67" spans="1:17" x14ac:dyDescent="0.3">
      <c r="A67" s="74">
        <v>7612</v>
      </c>
      <c r="B67" s="95" t="s">
        <v>69</v>
      </c>
      <c r="C67" s="76">
        <f t="shared" si="6"/>
        <v>0</v>
      </c>
      <c r="D67" s="77"/>
      <c r="E67" s="77">
        <f>Budsjettanalyse!F69</f>
        <v>0</v>
      </c>
      <c r="F67" s="78"/>
      <c r="G67" s="92"/>
      <c r="H67" s="78"/>
      <c r="I67" s="79"/>
      <c r="J67" s="78"/>
      <c r="K67" s="79"/>
      <c r="L67" s="78"/>
      <c r="M67" s="80"/>
    </row>
    <row r="68" spans="1:17" x14ac:dyDescent="0.3">
      <c r="A68" s="74">
        <v>7620</v>
      </c>
      <c r="B68" s="95" t="s">
        <v>70</v>
      </c>
      <c r="C68" s="76">
        <f t="shared" si="6"/>
        <v>10000</v>
      </c>
      <c r="D68" s="77">
        <v>10000</v>
      </c>
      <c r="E68" s="77">
        <f>Budsjettanalyse!F70</f>
        <v>20179.310000000001</v>
      </c>
      <c r="F68" s="78">
        <f>Sentralt!B40</f>
        <v>10000</v>
      </c>
      <c r="G68" s="79"/>
      <c r="H68" s="78"/>
      <c r="I68" s="79"/>
      <c r="J68" s="78"/>
      <c r="K68" s="79"/>
      <c r="L68" s="78"/>
      <c r="M68" s="80"/>
    </row>
    <row r="69" spans="1:17" x14ac:dyDescent="0.3">
      <c r="A69" s="74">
        <v>7650</v>
      </c>
      <c r="B69" s="95" t="s">
        <v>71</v>
      </c>
      <c r="C69" s="76">
        <f t="shared" si="6"/>
        <v>0</v>
      </c>
      <c r="D69" s="77"/>
      <c r="E69" s="77">
        <f>Budsjettanalyse!F71</f>
        <v>0</v>
      </c>
      <c r="F69" s="78"/>
      <c r="G69" s="79"/>
      <c r="H69" s="78"/>
      <c r="I69" s="79"/>
      <c r="J69" s="78"/>
      <c r="K69" s="79"/>
      <c r="L69" s="78"/>
      <c r="M69" s="80"/>
    </row>
    <row r="70" spans="1:17" x14ac:dyDescent="0.3">
      <c r="A70" s="74">
        <v>7770</v>
      </c>
      <c r="B70" s="95" t="s">
        <v>72</v>
      </c>
      <c r="C70" s="76">
        <f t="shared" si="6"/>
        <v>10000</v>
      </c>
      <c r="D70" s="77"/>
      <c r="E70" s="77">
        <f>Budsjettanalyse!F72</f>
        <v>15711.14</v>
      </c>
      <c r="F70" s="78">
        <f>Sentralt!B50</f>
        <v>10000</v>
      </c>
      <c r="G70" s="79"/>
      <c r="H70" s="78"/>
      <c r="I70" s="79"/>
      <c r="J70" s="78"/>
      <c r="K70" s="79"/>
      <c r="L70" s="78"/>
      <c r="M70" s="80"/>
    </row>
    <row r="71" spans="1:17" x14ac:dyDescent="0.3">
      <c r="A71" s="74">
        <v>7801</v>
      </c>
      <c r="B71" s="95" t="s">
        <v>124</v>
      </c>
      <c r="C71" s="76">
        <f t="shared" si="6"/>
        <v>0</v>
      </c>
      <c r="D71" s="77"/>
      <c r="E71" s="77">
        <f>Budsjettanalyse!F73</f>
        <v>71.36</v>
      </c>
      <c r="F71" s="78"/>
      <c r="G71" s="79"/>
      <c r="H71" s="78"/>
      <c r="I71" s="79"/>
      <c r="J71" s="78"/>
      <c r="K71" s="79"/>
      <c r="L71" s="78"/>
      <c r="M71" s="80"/>
    </row>
    <row r="72" spans="1:17" x14ac:dyDescent="0.3">
      <c r="A72" s="74">
        <v>7830</v>
      </c>
      <c r="B72" s="95" t="s">
        <v>74</v>
      </c>
      <c r="C72" s="76">
        <f t="shared" si="6"/>
        <v>0</v>
      </c>
      <c r="D72" s="77">
        <v>25000</v>
      </c>
      <c r="E72" s="77">
        <f>Budsjettanalyse!F74</f>
        <v>155922.85999999999</v>
      </c>
      <c r="F72" s="78">
        <f>Sentralt!B43</f>
        <v>0</v>
      </c>
      <c r="G72" s="92"/>
      <c r="H72" s="78"/>
      <c r="I72" s="79"/>
      <c r="J72" s="78"/>
      <c r="K72" s="79"/>
      <c r="L72" s="78"/>
      <c r="M72" s="80"/>
    </row>
    <row r="73" spans="1:17" x14ac:dyDescent="0.3">
      <c r="A73" s="74"/>
      <c r="B73" s="94" t="s">
        <v>75</v>
      </c>
      <c r="C73" s="83">
        <f>SUM(C41:C72)</f>
        <v>2828701.2</v>
      </c>
      <c r="D73" s="83">
        <f>SUM(D41:D72)</f>
        <v>2672431</v>
      </c>
      <c r="E73" s="83">
        <f>SUM(E41:E72)</f>
        <v>2624486.8899999997</v>
      </c>
      <c r="F73" s="83">
        <f>SUM(F41:F72)</f>
        <v>1417850</v>
      </c>
      <c r="G73" s="84"/>
      <c r="H73" s="83">
        <f>SUM(H41:H72)</f>
        <v>378851.2</v>
      </c>
      <c r="I73" s="84"/>
      <c r="J73" s="83">
        <f>SUM(J41:J72)</f>
        <v>122000</v>
      </c>
      <c r="K73" s="84"/>
      <c r="L73" s="83">
        <f>SUM(L41:L72)</f>
        <v>910000</v>
      </c>
      <c r="M73" s="97"/>
    </row>
    <row r="74" spans="1:17" x14ac:dyDescent="0.3">
      <c r="A74" s="74"/>
      <c r="B74" s="91" t="s">
        <v>125</v>
      </c>
      <c r="C74" s="98">
        <f t="shared" ref="C74:L74" si="7">C27+C40+C73</f>
        <v>6453341.4341000002</v>
      </c>
      <c r="D74" s="98">
        <f t="shared" si="7"/>
        <v>6275232</v>
      </c>
      <c r="E74" s="98">
        <f t="shared" si="7"/>
        <v>6154522.6500000004</v>
      </c>
      <c r="F74" s="98">
        <f t="shared" si="7"/>
        <v>3422813.6825000001</v>
      </c>
      <c r="G74" s="98">
        <f t="shared" si="7"/>
        <v>0</v>
      </c>
      <c r="H74" s="98">
        <f t="shared" si="7"/>
        <v>1708527.7515999998</v>
      </c>
      <c r="I74" s="98">
        <f t="shared" si="7"/>
        <v>0</v>
      </c>
      <c r="J74" s="98">
        <f t="shared" si="7"/>
        <v>122000</v>
      </c>
      <c r="K74" s="98">
        <f t="shared" si="7"/>
        <v>0</v>
      </c>
      <c r="L74" s="98">
        <f t="shared" si="7"/>
        <v>1200000</v>
      </c>
      <c r="M74" s="99"/>
      <c r="N74" s="100"/>
    </row>
    <row r="75" spans="1:17" x14ac:dyDescent="0.3">
      <c r="A75" s="74"/>
      <c r="B75" s="101" t="s">
        <v>77</v>
      </c>
      <c r="C75" s="102">
        <f t="shared" ref="C75:L75" si="8">C16-C74</f>
        <v>17787.965900000185</v>
      </c>
      <c r="D75" s="102">
        <f t="shared" si="8"/>
        <v>-163253</v>
      </c>
      <c r="E75" s="102">
        <f t="shared" si="8"/>
        <v>139686.46999999881</v>
      </c>
      <c r="F75" s="102">
        <f t="shared" si="8"/>
        <v>-139213.68250000011</v>
      </c>
      <c r="G75" s="102">
        <f t="shared" si="8"/>
        <v>0</v>
      </c>
      <c r="H75" s="102">
        <f t="shared" si="8"/>
        <v>49001.648400000297</v>
      </c>
      <c r="I75" s="102">
        <f t="shared" si="8"/>
        <v>0</v>
      </c>
      <c r="J75" s="102">
        <f t="shared" si="8"/>
        <v>-122000</v>
      </c>
      <c r="K75" s="102">
        <f t="shared" si="8"/>
        <v>0</v>
      </c>
      <c r="L75" s="102">
        <f t="shared" si="8"/>
        <v>230000</v>
      </c>
      <c r="M75" s="103"/>
      <c r="N75" s="100"/>
    </row>
    <row r="76" spans="1:17" x14ac:dyDescent="0.3">
      <c r="C76" s="78"/>
      <c r="D76" s="70"/>
      <c r="E76" s="70"/>
      <c r="F76" s="78"/>
      <c r="G76" s="79"/>
      <c r="H76" s="78"/>
      <c r="I76" s="79"/>
      <c r="J76" s="78"/>
      <c r="K76" s="79"/>
      <c r="L76" s="78"/>
      <c r="M76" s="80"/>
      <c r="N76" s="104"/>
    </row>
    <row r="77" spans="1:17" x14ac:dyDescent="0.3">
      <c r="A77" s="105">
        <v>8040</v>
      </c>
      <c r="B77" s="75" t="s">
        <v>78</v>
      </c>
      <c r="C77" s="76">
        <f>FinansFond!B4</f>
        <v>50000</v>
      </c>
      <c r="D77" s="77">
        <v>50000</v>
      </c>
      <c r="E77" s="77">
        <f>-(Budsjettanalyse!F80)</f>
        <v>41945.41</v>
      </c>
      <c r="F77" s="78"/>
      <c r="G77" s="79"/>
      <c r="H77" s="78"/>
      <c r="I77" s="79"/>
      <c r="J77" s="78"/>
      <c r="K77" s="79"/>
      <c r="L77" s="78"/>
      <c r="M77" s="80"/>
    </row>
    <row r="78" spans="1:17" x14ac:dyDescent="0.3">
      <c r="A78" s="105">
        <v>8179</v>
      </c>
      <c r="B78" s="75" t="s">
        <v>126</v>
      </c>
      <c r="C78" s="76">
        <f>FinansFond!B5</f>
        <v>15000</v>
      </c>
      <c r="D78" s="77">
        <v>15000</v>
      </c>
      <c r="E78" s="77">
        <f>Budsjettanalyse!F81+Budsjettanalyse!F82</f>
        <v>385.96</v>
      </c>
      <c r="F78" s="78"/>
      <c r="G78" s="79"/>
      <c r="H78" s="78"/>
      <c r="I78" s="79"/>
      <c r="J78" s="78"/>
      <c r="K78" s="79"/>
      <c r="L78" s="78"/>
      <c r="M78" s="80"/>
    </row>
    <row r="79" spans="1:17" x14ac:dyDescent="0.3">
      <c r="A79" s="105"/>
      <c r="B79" s="75"/>
      <c r="C79" s="76">
        <f>F79+H79+J79+L79</f>
        <v>0</v>
      </c>
      <c r="D79" s="77">
        <f>G79+I79+K79+M79</f>
        <v>0</v>
      </c>
      <c r="E79" s="77"/>
      <c r="F79" s="78"/>
      <c r="G79" s="79"/>
      <c r="H79" s="78"/>
      <c r="I79" s="79"/>
      <c r="J79" s="78"/>
      <c r="K79" s="79"/>
      <c r="L79" s="78"/>
      <c r="M79" s="80"/>
    </row>
    <row r="80" spans="1:17" x14ac:dyDescent="0.3">
      <c r="B80" s="91" t="s">
        <v>127</v>
      </c>
      <c r="C80" s="89">
        <f>-C77+C78</f>
        <v>-35000</v>
      </c>
      <c r="D80" s="89">
        <f>-D77+D78-D79</f>
        <v>-35000</v>
      </c>
      <c r="E80" s="89">
        <f>-E77+E78-E79</f>
        <v>-41559.450000000004</v>
      </c>
      <c r="F80" s="78"/>
      <c r="G80" s="79"/>
      <c r="H80" s="78"/>
      <c r="I80" s="79"/>
      <c r="J80" s="78"/>
      <c r="K80" s="79"/>
      <c r="L80" s="78"/>
      <c r="M80" s="80"/>
    </row>
    <row r="81" spans="1:13" x14ac:dyDescent="0.3">
      <c r="B81" s="101" t="s">
        <v>128</v>
      </c>
      <c r="C81" s="102">
        <f>C75-C80</f>
        <v>52787.965900000185</v>
      </c>
      <c r="D81" s="102">
        <f>D75-D80</f>
        <v>-128253</v>
      </c>
      <c r="E81" s="102">
        <f>E75-E80</f>
        <v>181245.91999999882</v>
      </c>
      <c r="F81" s="78"/>
      <c r="G81" s="79"/>
      <c r="H81" s="78"/>
      <c r="I81" s="79"/>
      <c r="J81" s="78"/>
      <c r="K81" s="79"/>
      <c r="L81" s="78"/>
      <c r="M81" s="80"/>
    </row>
    <row r="82" spans="1:13" x14ac:dyDescent="0.3">
      <c r="C82" s="78"/>
      <c r="D82" s="70"/>
      <c r="E82" s="70"/>
      <c r="F82" s="78"/>
      <c r="G82" s="79"/>
      <c r="H82" s="78"/>
      <c r="I82" s="79"/>
      <c r="J82" s="78"/>
      <c r="K82" s="79"/>
      <c r="L82" s="78"/>
      <c r="M82" s="80"/>
    </row>
    <row r="83" spans="1:13" x14ac:dyDescent="0.3">
      <c r="A83" s="105">
        <v>2025</v>
      </c>
      <c r="B83" s="75" t="s">
        <v>84</v>
      </c>
      <c r="C83" s="76">
        <f>FinansFond!B10</f>
        <v>37300</v>
      </c>
      <c r="D83" s="77">
        <v>37300</v>
      </c>
      <c r="E83" s="77">
        <f>Budsjettanalyse!F89</f>
        <v>0</v>
      </c>
      <c r="F83" s="78"/>
      <c r="G83" s="79"/>
      <c r="H83" s="78"/>
      <c r="I83" s="79"/>
      <c r="J83" s="78"/>
      <c r="K83" s="79"/>
      <c r="L83" s="78"/>
      <c r="M83" s="80"/>
    </row>
    <row r="84" spans="1:13" x14ac:dyDescent="0.3">
      <c r="A84" s="105">
        <v>2026</v>
      </c>
      <c r="B84" s="75" t="s">
        <v>129</v>
      </c>
      <c r="C84" s="76">
        <f>FinansFond!B11</f>
        <v>0</v>
      </c>
      <c r="D84" s="77">
        <f>G84+I84+K84+M84</f>
        <v>0</v>
      </c>
      <c r="E84" s="77"/>
      <c r="F84" s="78"/>
      <c r="H84" s="78"/>
      <c r="I84" s="79"/>
      <c r="J84" s="78"/>
      <c r="K84" s="79"/>
      <c r="L84" s="78"/>
      <c r="M84" s="80"/>
    </row>
    <row r="85" spans="1:13" x14ac:dyDescent="0.3">
      <c r="A85" s="105">
        <v>2026</v>
      </c>
      <c r="B85" s="75" t="s">
        <v>130</v>
      </c>
      <c r="C85" s="76">
        <f>FinansFond!B12</f>
        <v>11701.648400000297</v>
      </c>
      <c r="D85" s="77">
        <f>G85+I85+K85+M85</f>
        <v>0</v>
      </c>
      <c r="E85" s="106">
        <f>-Budsjettanalyse!F90</f>
        <v>-1443</v>
      </c>
      <c r="F85" s="107"/>
      <c r="G85" s="108"/>
      <c r="H85" s="109"/>
      <c r="I85" s="108"/>
      <c r="J85" s="109"/>
      <c r="K85" s="108"/>
      <c r="L85" s="109"/>
      <c r="M85" s="110"/>
    </row>
    <row r="86" spans="1:13" x14ac:dyDescent="0.3">
      <c r="A86" s="105">
        <v>2029</v>
      </c>
      <c r="B86" s="75" t="s">
        <v>131</v>
      </c>
      <c r="C86" s="76">
        <f>FinansFond!B13</f>
        <v>0</v>
      </c>
      <c r="D86" s="77">
        <f>G86+I86+K86+M86</f>
        <v>0</v>
      </c>
      <c r="E86" s="106"/>
      <c r="F86" s="109"/>
      <c r="G86" s="108"/>
      <c r="H86" s="109"/>
      <c r="I86" s="108"/>
      <c r="J86" s="109"/>
      <c r="K86" s="108"/>
      <c r="L86" s="109"/>
      <c r="M86" s="110"/>
    </row>
    <row r="87" spans="1:13" x14ac:dyDescent="0.3">
      <c r="A87" s="105">
        <v>2030</v>
      </c>
      <c r="B87" s="75" t="s">
        <v>132</v>
      </c>
      <c r="C87" s="76">
        <f>FinansFond!B14</f>
        <v>15000</v>
      </c>
      <c r="D87" s="77">
        <v>15000</v>
      </c>
      <c r="E87" s="106">
        <f>-Budsjettanalyse!F92</f>
        <v>-10318</v>
      </c>
      <c r="F87" s="109"/>
      <c r="G87" s="108"/>
      <c r="H87" s="109"/>
      <c r="I87" s="108"/>
      <c r="J87" s="109"/>
      <c r="K87" s="108"/>
      <c r="L87" s="109"/>
      <c r="M87" s="110"/>
    </row>
    <row r="88" spans="1:13" x14ac:dyDescent="0.3">
      <c r="A88" s="105"/>
      <c r="B88" s="91" t="s">
        <v>133</v>
      </c>
      <c r="C88" s="111">
        <f>-(C83+C85+C87)</f>
        <v>-64001.648400000297</v>
      </c>
      <c r="D88" s="111">
        <f>SUM(D83:D87)</f>
        <v>52300</v>
      </c>
      <c r="E88" s="112">
        <f>SUM(E83:E87)</f>
        <v>-11761</v>
      </c>
      <c r="F88" s="80"/>
      <c r="G88" s="80"/>
      <c r="H88" s="113"/>
      <c r="I88" s="80"/>
      <c r="J88" s="113"/>
      <c r="K88" s="80"/>
    </row>
    <row r="89" spans="1:13" x14ac:dyDescent="0.3">
      <c r="A89" s="105">
        <v>8980</v>
      </c>
      <c r="B89" s="101" t="s">
        <v>92</v>
      </c>
      <c r="C89" s="114">
        <f>C81+C88</f>
        <v>-11213.682500000112</v>
      </c>
      <c r="D89" s="114">
        <f>D81+D88</f>
        <v>-75953</v>
      </c>
      <c r="E89" s="114">
        <f>E81+E88</f>
        <v>169484.91999999882</v>
      </c>
      <c r="F89" s="80"/>
      <c r="G89" s="80"/>
      <c r="H89" s="113"/>
      <c r="I89" s="79"/>
      <c r="J89" s="113"/>
      <c r="K89" s="80"/>
    </row>
  </sheetData>
  <sheetProtection selectLockedCells="1" selectUnlockedCells="1"/>
  <mergeCells count="5">
    <mergeCell ref="C1:E1"/>
    <mergeCell ref="F1:G1"/>
    <mergeCell ref="H1:I1"/>
    <mergeCell ref="J1:K1"/>
    <mergeCell ref="L1:M1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showGridLines="0" zoomScale="75" zoomScaleNormal="75" workbookViewId="0">
      <selection activeCell="B14" sqref="B14"/>
    </sheetView>
  </sheetViews>
  <sheetFormatPr defaultColWidth="12.5546875" defaultRowHeight="14.4" x14ac:dyDescent="0.3"/>
  <cols>
    <col min="1" max="1" width="28.21875" style="1" customWidth="1"/>
    <col min="2" max="16384" width="12.5546875" style="1"/>
  </cols>
  <sheetData>
    <row r="2" spans="1:3" x14ac:dyDescent="0.3">
      <c r="A2" s="115" t="s">
        <v>134</v>
      </c>
      <c r="B2" s="116"/>
    </row>
    <row r="3" spans="1:3" x14ac:dyDescent="0.3">
      <c r="A3" s="117"/>
      <c r="B3" s="50"/>
    </row>
    <row r="4" spans="1:3" x14ac:dyDescent="0.3">
      <c r="A4" s="117" t="s">
        <v>135</v>
      </c>
      <c r="B4" s="50">
        <v>50000</v>
      </c>
    </row>
    <row r="5" spans="1:3" x14ac:dyDescent="0.3">
      <c r="A5" s="117" t="s">
        <v>72</v>
      </c>
      <c r="B5" s="50">
        <v>15000</v>
      </c>
    </row>
    <row r="6" spans="1:3" x14ac:dyDescent="0.3">
      <c r="A6" s="118" t="s">
        <v>136</v>
      </c>
      <c r="B6" s="119">
        <f>B4-B5</f>
        <v>35000</v>
      </c>
    </row>
    <row r="8" spans="1:3" x14ac:dyDescent="0.3">
      <c r="A8" s="115" t="s">
        <v>137</v>
      </c>
      <c r="B8" s="116"/>
    </row>
    <row r="9" spans="1:3" x14ac:dyDescent="0.3">
      <c r="A9" s="117"/>
      <c r="B9" s="50"/>
    </row>
    <row r="10" spans="1:3" x14ac:dyDescent="0.3">
      <c r="A10" s="117" t="s">
        <v>84</v>
      </c>
      <c r="B10" s="120">
        <f>-Program!H5</f>
        <v>37300</v>
      </c>
    </row>
    <row r="11" spans="1:3" x14ac:dyDescent="0.3">
      <c r="A11" s="117" t="s">
        <v>129</v>
      </c>
      <c r="B11" s="50">
        <v>0</v>
      </c>
    </row>
    <row r="12" spans="1:3" x14ac:dyDescent="0.3">
      <c r="A12" s="117" t="s">
        <v>130</v>
      </c>
      <c r="B12" s="120">
        <f>-Program!H13-Program!H40</f>
        <v>11701.648400000297</v>
      </c>
    </row>
    <row r="13" spans="1:3" x14ac:dyDescent="0.3">
      <c r="A13" s="117" t="s">
        <v>131</v>
      </c>
      <c r="B13" s="120">
        <v>0</v>
      </c>
    </row>
    <row r="14" spans="1:3" x14ac:dyDescent="0.3">
      <c r="A14" s="121" t="s">
        <v>132</v>
      </c>
      <c r="B14" s="54">
        <v>15000</v>
      </c>
      <c r="C14" s="1" t="s">
        <v>138</v>
      </c>
    </row>
    <row r="15" spans="1:3" x14ac:dyDescent="0.3">
      <c r="A15" s="118" t="s">
        <v>133</v>
      </c>
      <c r="B15" s="119">
        <f>SUM(B10:B14)</f>
        <v>64001.648400000297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zoomScale="75" zoomScaleNormal="75" workbookViewId="0">
      <selection activeCell="B16" sqref="B16"/>
    </sheetView>
  </sheetViews>
  <sheetFormatPr defaultColWidth="12.5546875" defaultRowHeight="14.4" x14ac:dyDescent="0.3"/>
  <cols>
    <col min="1" max="1" width="49.77734375" style="1" customWidth="1"/>
    <col min="2" max="2" width="12.5546875" style="1"/>
    <col min="3" max="3" width="35.5546875" style="1" customWidth="1"/>
    <col min="4" max="4" width="17.77734375" style="1" customWidth="1"/>
    <col min="5" max="6" width="20.77734375" style="1" customWidth="1"/>
    <col min="7" max="7" width="12.5546875" style="1"/>
    <col min="8" max="8" width="20.77734375" style="1" customWidth="1"/>
    <col min="9" max="9" width="17.77734375" style="1" customWidth="1"/>
    <col min="10" max="10" width="15.77734375" style="1" customWidth="1"/>
    <col min="11" max="11" width="16.44140625" style="1" customWidth="1"/>
    <col min="12" max="12" width="17.21875" style="1" customWidth="1"/>
    <col min="13" max="13" width="15.77734375" style="1" customWidth="1"/>
    <col min="14" max="16384" width="12.5546875" style="1"/>
  </cols>
  <sheetData>
    <row r="1" spans="1:15" x14ac:dyDescent="0.3">
      <c r="A1" s="122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x14ac:dyDescent="0.3">
      <c r="A2" s="124" t="s">
        <v>139</v>
      </c>
      <c r="B2" s="125"/>
      <c r="C2" s="126"/>
      <c r="D2" s="127"/>
      <c r="E2" s="127"/>
      <c r="F2" s="127"/>
      <c r="G2" s="127"/>
      <c r="H2" s="123"/>
      <c r="I2" s="123"/>
      <c r="J2" s="123"/>
      <c r="K2" s="123"/>
      <c r="L2" s="123"/>
      <c r="M2" s="123"/>
      <c r="N2" s="123"/>
      <c r="O2" s="123"/>
    </row>
    <row r="3" spans="1:15" x14ac:dyDescent="0.3">
      <c r="A3" s="128" t="s">
        <v>140</v>
      </c>
      <c r="B3" s="129">
        <v>10</v>
      </c>
      <c r="C3" s="126"/>
      <c r="D3" s="127"/>
      <c r="E3" s="127"/>
      <c r="F3" s="127"/>
      <c r="G3" s="127"/>
      <c r="H3" s="123"/>
      <c r="I3" s="123"/>
      <c r="J3" s="123"/>
      <c r="K3" s="123"/>
      <c r="L3" s="123"/>
      <c r="M3" s="123"/>
      <c r="N3" s="123"/>
      <c r="O3" s="123"/>
    </row>
    <row r="4" spans="1:15" x14ac:dyDescent="0.3">
      <c r="A4" s="130" t="s">
        <v>141</v>
      </c>
      <c r="B4" s="131">
        <v>10</v>
      </c>
      <c r="C4" s="126"/>
      <c r="D4" s="127"/>
      <c r="E4" s="127"/>
      <c r="F4" s="127"/>
      <c r="G4" s="127"/>
      <c r="H4" s="123"/>
      <c r="I4" s="123"/>
      <c r="J4" s="123"/>
      <c r="K4" s="123"/>
      <c r="L4" s="123"/>
      <c r="M4" s="123"/>
      <c r="N4" s="123"/>
      <c r="O4" s="123"/>
    </row>
    <row r="5" spans="1:15" x14ac:dyDescent="0.3">
      <c r="A5" s="132"/>
      <c r="B5" s="132"/>
      <c r="C5" s="133"/>
      <c r="D5" s="133"/>
      <c r="E5" s="127"/>
      <c r="F5" s="127"/>
      <c r="G5" s="127"/>
      <c r="H5" s="123"/>
      <c r="I5" s="123"/>
      <c r="J5" s="123"/>
      <c r="K5" s="123"/>
      <c r="L5" s="123"/>
      <c r="M5" s="123"/>
      <c r="N5" s="123"/>
      <c r="O5" s="123"/>
    </row>
    <row r="6" spans="1:15" x14ac:dyDescent="0.3">
      <c r="A6" s="124" t="s">
        <v>142</v>
      </c>
      <c r="B6" s="134"/>
      <c r="C6" s="134" t="s">
        <v>143</v>
      </c>
      <c r="D6" s="125"/>
      <c r="E6" s="126"/>
      <c r="F6" s="135"/>
      <c r="G6" s="127"/>
      <c r="H6" s="123"/>
      <c r="I6" s="123"/>
      <c r="J6" s="123"/>
      <c r="K6" s="123"/>
      <c r="L6" s="123"/>
      <c r="M6" s="123"/>
      <c r="N6" s="123"/>
      <c r="O6" s="123"/>
    </row>
    <row r="7" spans="1:15" ht="15" customHeight="1" x14ac:dyDescent="0.3">
      <c r="A7" s="128" t="s">
        <v>16</v>
      </c>
      <c r="B7" s="136">
        <v>11.91</v>
      </c>
      <c r="C7" s="137" t="s">
        <v>144</v>
      </c>
      <c r="D7" s="138"/>
      <c r="E7" s="312" t="s">
        <v>145</v>
      </c>
      <c r="F7" s="312"/>
      <c r="G7" s="312"/>
      <c r="H7" s="123"/>
      <c r="I7" s="123"/>
      <c r="J7" s="123"/>
      <c r="K7" s="123"/>
      <c r="L7" s="123"/>
      <c r="M7" s="123"/>
      <c r="N7" s="123"/>
      <c r="O7" s="123"/>
    </row>
    <row r="8" spans="1:15" x14ac:dyDescent="0.3">
      <c r="A8" s="128" t="s">
        <v>146</v>
      </c>
      <c r="B8" s="136">
        <v>6.5</v>
      </c>
      <c r="C8" s="137" t="s">
        <v>147</v>
      </c>
      <c r="D8" s="138"/>
      <c r="E8" s="312"/>
      <c r="F8" s="312"/>
      <c r="G8" s="312"/>
      <c r="H8" s="123"/>
      <c r="I8" s="123"/>
      <c r="J8" s="123"/>
      <c r="K8" s="123"/>
      <c r="L8" s="123"/>
      <c r="M8" s="123"/>
      <c r="N8" s="123"/>
      <c r="O8" s="123"/>
    </row>
    <row r="9" spans="1:15" x14ac:dyDescent="0.3">
      <c r="A9" s="128" t="s">
        <v>148</v>
      </c>
      <c r="B9" s="136">
        <v>98.47</v>
      </c>
      <c r="C9" s="137" t="s">
        <v>149</v>
      </c>
      <c r="D9" s="138"/>
      <c r="E9" s="312"/>
      <c r="F9" s="312"/>
      <c r="G9" s="312"/>
      <c r="H9" s="123"/>
      <c r="I9" s="123"/>
      <c r="J9" s="123"/>
      <c r="K9" s="123"/>
      <c r="L9" s="123"/>
      <c r="M9" s="123"/>
      <c r="N9" s="123"/>
      <c r="O9" s="123"/>
    </row>
    <row r="10" spans="1:15" x14ac:dyDescent="0.3">
      <c r="A10" s="128" t="s">
        <v>150</v>
      </c>
      <c r="B10" s="136">
        <v>120</v>
      </c>
      <c r="C10" s="137" t="s">
        <v>151</v>
      </c>
      <c r="D10" s="138"/>
      <c r="E10" s="312"/>
      <c r="F10" s="312"/>
      <c r="G10" s="312"/>
      <c r="H10" s="123"/>
      <c r="I10" s="123"/>
      <c r="J10" s="123"/>
      <c r="K10" s="123"/>
      <c r="L10" s="123"/>
      <c r="M10" s="123"/>
      <c r="N10" s="123"/>
      <c r="O10" s="123"/>
    </row>
    <row r="11" spans="1:15" x14ac:dyDescent="0.3">
      <c r="A11" s="128" t="s">
        <v>152</v>
      </c>
      <c r="B11" s="136">
        <v>100</v>
      </c>
      <c r="C11" s="137" t="s">
        <v>153</v>
      </c>
      <c r="D11" s="138"/>
      <c r="E11" s="312"/>
      <c r="F11" s="312"/>
      <c r="G11" s="312"/>
      <c r="H11" s="123"/>
      <c r="I11" s="123"/>
      <c r="J11" s="123"/>
      <c r="K11" s="123"/>
      <c r="L11" s="123"/>
      <c r="M11" s="123"/>
      <c r="N11" s="123"/>
      <c r="O11" s="123"/>
    </row>
    <row r="12" spans="1:15" x14ac:dyDescent="0.3">
      <c r="A12" s="128" t="s">
        <v>154</v>
      </c>
      <c r="B12" s="136">
        <v>50</v>
      </c>
      <c r="C12" s="137" t="s">
        <v>155</v>
      </c>
      <c r="D12" s="138"/>
      <c r="E12" s="139"/>
      <c r="F12" s="140"/>
      <c r="G12" s="140"/>
      <c r="H12" s="123"/>
      <c r="I12" s="123"/>
      <c r="J12" s="123"/>
      <c r="K12" s="123"/>
      <c r="L12" s="123"/>
      <c r="M12" s="123"/>
      <c r="N12" s="123"/>
      <c r="O12" s="123"/>
    </row>
    <row r="13" spans="1:15" x14ac:dyDescent="0.3">
      <c r="A13" s="128" t="s">
        <v>156</v>
      </c>
      <c r="B13" s="141">
        <v>0</v>
      </c>
      <c r="C13" s="137" t="s">
        <v>157</v>
      </c>
      <c r="D13" s="138"/>
      <c r="E13" s="126"/>
      <c r="F13" s="135"/>
      <c r="G13" s="127"/>
      <c r="H13" s="123"/>
      <c r="I13" s="123"/>
      <c r="J13" s="123"/>
      <c r="K13" s="123"/>
      <c r="L13" s="123"/>
      <c r="M13" s="123"/>
      <c r="N13" s="123"/>
      <c r="O13" s="123"/>
    </row>
    <row r="14" spans="1:15" ht="40.200000000000003" x14ac:dyDescent="0.3">
      <c r="A14" s="128" t="s">
        <v>158</v>
      </c>
      <c r="B14" s="141">
        <v>600</v>
      </c>
      <c r="C14" s="137" t="s">
        <v>159</v>
      </c>
      <c r="D14" s="138" t="s">
        <v>160</v>
      </c>
      <c r="E14" s="126" t="s">
        <v>161</v>
      </c>
      <c r="F14" s="135"/>
      <c r="G14" s="127"/>
      <c r="H14" s="123"/>
      <c r="I14" s="123"/>
      <c r="J14" s="123"/>
      <c r="K14" s="123"/>
      <c r="L14" s="123"/>
      <c r="M14" s="123"/>
      <c r="N14" s="123"/>
      <c r="O14" s="123"/>
    </row>
    <row r="15" spans="1:15" x14ac:dyDescent="0.3">
      <c r="A15" s="128" t="s">
        <v>162</v>
      </c>
      <c r="B15" s="141">
        <v>100</v>
      </c>
      <c r="C15" s="137" t="s">
        <v>159</v>
      </c>
      <c r="D15" s="138" t="s">
        <v>160</v>
      </c>
      <c r="E15" s="126"/>
      <c r="F15" s="135"/>
      <c r="G15" s="127"/>
      <c r="H15" s="123"/>
      <c r="I15" s="123"/>
      <c r="J15" s="123"/>
      <c r="K15" s="123"/>
      <c r="L15" s="123"/>
      <c r="M15" s="123"/>
      <c r="N15" s="123"/>
      <c r="O15" s="123"/>
    </row>
    <row r="16" spans="1:15" x14ac:dyDescent="0.3">
      <c r="A16" s="128" t="s">
        <v>163</v>
      </c>
      <c r="B16" s="141">
        <v>500</v>
      </c>
      <c r="C16" s="137" t="s">
        <v>159</v>
      </c>
      <c r="D16" s="138" t="s">
        <v>160</v>
      </c>
      <c r="E16" s="126"/>
      <c r="F16" s="135"/>
      <c r="G16" s="127"/>
      <c r="H16" s="123"/>
      <c r="I16" s="123"/>
      <c r="J16" s="123"/>
      <c r="K16" s="123"/>
      <c r="L16" s="123"/>
      <c r="M16" s="123"/>
      <c r="N16" s="123"/>
      <c r="O16" s="123"/>
    </row>
    <row r="17" spans="1:15" x14ac:dyDescent="0.3">
      <c r="A17" s="128" t="s">
        <v>164</v>
      </c>
      <c r="B17" s="141">
        <v>550</v>
      </c>
      <c r="C17" s="137" t="s">
        <v>159</v>
      </c>
      <c r="D17" s="138" t="s">
        <v>165</v>
      </c>
      <c r="E17" s="126"/>
      <c r="F17" s="135"/>
      <c r="G17" s="127"/>
      <c r="H17" s="123"/>
      <c r="I17" s="123"/>
      <c r="J17" s="123"/>
      <c r="K17" s="123"/>
      <c r="L17" s="123"/>
      <c r="M17" s="123"/>
      <c r="N17" s="123"/>
      <c r="O17" s="123"/>
    </row>
    <row r="18" spans="1:15" x14ac:dyDescent="0.3">
      <c r="A18" s="128" t="s">
        <v>166</v>
      </c>
      <c r="B18" s="141">
        <v>700</v>
      </c>
      <c r="C18" s="137" t="s">
        <v>159</v>
      </c>
      <c r="D18" s="138" t="s">
        <v>167</v>
      </c>
      <c r="E18" s="126"/>
      <c r="F18" s="135"/>
      <c r="G18" s="127"/>
      <c r="H18" s="123"/>
      <c r="I18" s="123"/>
      <c r="J18" s="123"/>
      <c r="K18" s="123"/>
      <c r="L18" s="123"/>
      <c r="M18" s="123"/>
      <c r="N18" s="123"/>
      <c r="O18" s="123"/>
    </row>
    <row r="19" spans="1:15" x14ac:dyDescent="0.3">
      <c r="A19" s="128" t="s">
        <v>168</v>
      </c>
      <c r="B19" s="141">
        <v>550</v>
      </c>
      <c r="C19" s="137" t="s">
        <v>159</v>
      </c>
      <c r="D19" s="138" t="s">
        <v>165</v>
      </c>
      <c r="E19" s="126"/>
      <c r="F19" s="135"/>
      <c r="G19" s="127"/>
      <c r="H19" s="123"/>
      <c r="I19" s="123"/>
      <c r="J19" s="123"/>
      <c r="K19" s="123"/>
      <c r="L19" s="123"/>
      <c r="M19" s="123"/>
      <c r="N19" s="123"/>
      <c r="O19" s="123"/>
    </row>
    <row r="20" spans="1:15" x14ac:dyDescent="0.3">
      <c r="A20" s="128" t="s">
        <v>169</v>
      </c>
      <c r="B20" s="141">
        <v>750</v>
      </c>
      <c r="C20" s="137" t="s">
        <v>159</v>
      </c>
      <c r="D20" s="138" t="s">
        <v>165</v>
      </c>
      <c r="E20" s="126"/>
      <c r="F20" s="135"/>
      <c r="G20" s="127"/>
      <c r="H20" s="123"/>
      <c r="I20" s="123"/>
      <c r="J20" s="123"/>
      <c r="K20" s="123"/>
      <c r="L20" s="123"/>
      <c r="M20" s="123"/>
      <c r="N20" s="123"/>
      <c r="O20" s="123"/>
    </row>
    <row r="21" spans="1:15" x14ac:dyDescent="0.3">
      <c r="A21" s="128" t="s">
        <v>170</v>
      </c>
      <c r="B21" s="141">
        <v>350</v>
      </c>
      <c r="C21" s="137" t="s">
        <v>159</v>
      </c>
      <c r="D21" s="138" t="s">
        <v>165</v>
      </c>
      <c r="E21" s="126"/>
      <c r="F21" s="135"/>
      <c r="G21" s="127"/>
      <c r="H21" s="123"/>
      <c r="I21" s="123"/>
      <c r="J21" s="123"/>
      <c r="K21" s="123"/>
      <c r="L21" s="123"/>
      <c r="M21" s="123"/>
      <c r="N21" s="123"/>
      <c r="O21" s="123"/>
    </row>
    <row r="22" spans="1:15" x14ac:dyDescent="0.3">
      <c r="A22" s="128" t="s">
        <v>171</v>
      </c>
      <c r="B22" s="141">
        <v>550</v>
      </c>
      <c r="C22" s="137" t="s">
        <v>159</v>
      </c>
      <c r="D22" s="138" t="s">
        <v>165</v>
      </c>
      <c r="E22" s="126"/>
      <c r="F22" s="135"/>
      <c r="G22" s="142"/>
      <c r="H22" s="143"/>
      <c r="I22" s="143"/>
      <c r="J22" s="123"/>
      <c r="K22" s="123"/>
      <c r="L22" s="123"/>
      <c r="M22" s="123"/>
      <c r="N22" s="123"/>
      <c r="O22" s="123"/>
    </row>
    <row r="23" spans="1:15" ht="40.200000000000003" x14ac:dyDescent="0.3">
      <c r="A23" s="128" t="s">
        <v>172</v>
      </c>
      <c r="B23" s="141">
        <v>0</v>
      </c>
      <c r="C23" s="137" t="s">
        <v>159</v>
      </c>
      <c r="D23" s="138" t="s">
        <v>165</v>
      </c>
      <c r="E23" s="126" t="s">
        <v>173</v>
      </c>
      <c r="F23" s="135"/>
      <c r="G23" s="142"/>
      <c r="H23" s="143"/>
      <c r="I23" s="143"/>
      <c r="J23" s="123"/>
      <c r="K23" s="123"/>
      <c r="L23" s="123"/>
      <c r="M23" s="123"/>
      <c r="N23" s="123"/>
      <c r="O23" s="123"/>
    </row>
    <row r="24" spans="1:15" x14ac:dyDescent="0.3">
      <c r="A24" s="128" t="s">
        <v>174</v>
      </c>
      <c r="B24" s="141">
        <v>800</v>
      </c>
      <c r="C24" s="137" t="s">
        <v>159</v>
      </c>
      <c r="D24" s="138" t="s">
        <v>165</v>
      </c>
      <c r="E24" s="126" t="s">
        <v>175</v>
      </c>
      <c r="F24" s="135"/>
      <c r="G24" s="142"/>
      <c r="H24" s="143"/>
      <c r="I24" s="143"/>
      <c r="J24" s="123"/>
      <c r="K24" s="123"/>
      <c r="L24" s="123"/>
      <c r="M24" s="123"/>
      <c r="N24" s="123"/>
      <c r="O24" s="123"/>
    </row>
    <row r="25" spans="1:15" x14ac:dyDescent="0.3">
      <c r="A25" s="130" t="s">
        <v>176</v>
      </c>
      <c r="B25" s="144">
        <v>2000</v>
      </c>
      <c r="C25" s="145" t="s">
        <v>159</v>
      </c>
      <c r="D25" s="146" t="s">
        <v>165</v>
      </c>
      <c r="E25" s="126" t="s">
        <v>175</v>
      </c>
      <c r="F25" s="135"/>
      <c r="G25" s="142"/>
      <c r="H25" s="143"/>
      <c r="I25" s="143"/>
      <c r="J25" s="123"/>
      <c r="K25" s="123"/>
      <c r="L25" s="123"/>
      <c r="M25" s="123"/>
      <c r="N25" s="123"/>
      <c r="O25" s="123"/>
    </row>
    <row r="26" spans="1:15" x14ac:dyDescent="0.3">
      <c r="A26" s="147"/>
      <c r="B26" s="147"/>
      <c r="C26" s="147"/>
      <c r="D26" s="147"/>
      <c r="E26" s="127"/>
      <c r="F26" s="127"/>
      <c r="G26" s="142"/>
      <c r="H26" s="143"/>
      <c r="I26" s="143"/>
      <c r="J26" s="123"/>
      <c r="K26" s="123"/>
      <c r="L26" s="123"/>
      <c r="M26" s="123"/>
      <c r="N26" s="123"/>
      <c r="O26" s="123"/>
    </row>
    <row r="27" spans="1:15" x14ac:dyDescent="0.3">
      <c r="A27" s="148" t="s">
        <v>177</v>
      </c>
      <c r="B27" s="147"/>
      <c r="C27" s="149"/>
      <c r="D27" s="149"/>
      <c r="E27" s="150"/>
      <c r="F27" s="150"/>
      <c r="G27" s="151"/>
      <c r="H27" s="143"/>
      <c r="I27" s="143"/>
      <c r="J27" s="123"/>
      <c r="K27" s="123"/>
      <c r="L27" s="123"/>
      <c r="M27" s="123"/>
      <c r="N27" s="123"/>
      <c r="O27" s="123"/>
    </row>
    <row r="28" spans="1:15" x14ac:dyDescent="0.3">
      <c r="A28" s="152"/>
      <c r="B28" s="135"/>
      <c r="C28" s="153" t="s">
        <v>178</v>
      </c>
      <c r="D28" s="153" t="s">
        <v>179</v>
      </c>
      <c r="E28" s="154" t="s">
        <v>180</v>
      </c>
      <c r="F28" s="154" t="s">
        <v>181</v>
      </c>
      <c r="G28" s="155"/>
      <c r="H28" s="143"/>
      <c r="I28" s="143"/>
      <c r="J28" s="123"/>
      <c r="K28" s="123"/>
      <c r="L28" s="123"/>
      <c r="M28" s="123"/>
      <c r="N28" s="123"/>
      <c r="O28" s="123"/>
    </row>
    <row r="29" spans="1:15" x14ac:dyDescent="0.3">
      <c r="A29" s="126" t="s">
        <v>182</v>
      </c>
      <c r="B29" s="156">
        <f>SUM(C29:F29)</f>
        <v>49</v>
      </c>
      <c r="C29" s="157">
        <v>11</v>
      </c>
      <c r="D29" s="157">
        <v>16</v>
      </c>
      <c r="E29" s="158">
        <v>6</v>
      </c>
      <c r="F29" s="158">
        <v>16</v>
      </c>
      <c r="G29" s="155"/>
      <c r="H29" s="143"/>
      <c r="O29" s="123"/>
    </row>
    <row r="30" spans="1:15" x14ac:dyDescent="0.3">
      <c r="A30" s="126" t="s">
        <v>183</v>
      </c>
      <c r="B30" s="157">
        <v>29</v>
      </c>
      <c r="C30" s="135"/>
      <c r="D30" s="135"/>
      <c r="E30" s="159"/>
      <c r="F30" s="159"/>
      <c r="G30" s="155"/>
      <c r="H30" s="143"/>
      <c r="O30" s="123"/>
    </row>
    <row r="31" spans="1:15" x14ac:dyDescent="0.3">
      <c r="A31" s="126" t="s">
        <v>184</v>
      </c>
      <c r="B31" s="157">
        <v>5</v>
      </c>
      <c r="C31" s="135"/>
      <c r="D31" s="135"/>
      <c r="E31" s="159"/>
      <c r="F31" s="159"/>
      <c r="G31" s="155"/>
      <c r="H31" s="143"/>
      <c r="O31" s="123"/>
    </row>
    <row r="32" spans="1:15" x14ac:dyDescent="0.3">
      <c r="A32" s="152"/>
      <c r="B32" s="160"/>
      <c r="C32" s="160"/>
      <c r="D32" s="160"/>
      <c r="E32" s="160"/>
      <c r="F32" s="160"/>
      <c r="G32" s="155"/>
      <c r="H32" s="143"/>
      <c r="O32" s="123"/>
    </row>
    <row r="33" spans="1:15" x14ac:dyDescent="0.3">
      <c r="A33" s="126" t="s">
        <v>185</v>
      </c>
      <c r="B33" s="156">
        <f>SUM(C33:F33)</f>
        <v>20</v>
      </c>
      <c r="C33" s="157">
        <v>4</v>
      </c>
      <c r="D33" s="157">
        <v>9</v>
      </c>
      <c r="E33" s="158">
        <v>1</v>
      </c>
      <c r="F33" s="158">
        <v>6</v>
      </c>
      <c r="G33" s="155"/>
      <c r="H33" s="143"/>
      <c r="I33" s="143"/>
      <c r="J33" s="123"/>
      <c r="K33" s="123"/>
      <c r="L33" s="123"/>
      <c r="M33" s="123"/>
      <c r="N33" s="123"/>
      <c r="O33" s="123"/>
    </row>
    <row r="34" spans="1:15" x14ac:dyDescent="0.3">
      <c r="A34" s="126" t="s">
        <v>186</v>
      </c>
      <c r="B34" s="157">
        <v>3</v>
      </c>
      <c r="C34" s="133"/>
      <c r="D34" s="133"/>
      <c r="E34" s="161"/>
      <c r="F34" s="161"/>
      <c r="G34" s="155"/>
      <c r="H34" s="143"/>
      <c r="O34" s="123"/>
    </row>
    <row r="35" spans="1:15" x14ac:dyDescent="0.3">
      <c r="A35" s="126"/>
      <c r="B35" s="135"/>
      <c r="C35" s="135"/>
      <c r="D35" s="135"/>
      <c r="E35" s="159"/>
      <c r="F35" s="159"/>
      <c r="G35" s="155"/>
      <c r="H35" s="143"/>
      <c r="I35" s="162"/>
      <c r="J35" s="162"/>
      <c r="K35" s="162"/>
      <c r="L35" s="162"/>
      <c r="M35" s="162"/>
      <c r="O35" s="123"/>
    </row>
    <row r="36" spans="1:15" x14ac:dyDescent="0.3">
      <c r="A36" s="126" t="s">
        <v>187</v>
      </c>
      <c r="B36" s="157">
        <v>8</v>
      </c>
      <c r="C36" s="135"/>
      <c r="D36" s="135"/>
      <c r="E36" s="159"/>
      <c r="F36" s="159"/>
      <c r="G36" s="155"/>
      <c r="H36" s="143"/>
      <c r="I36" s="162"/>
      <c r="J36" s="162"/>
      <c r="K36" s="162"/>
      <c r="L36" s="162"/>
      <c r="M36" s="162"/>
      <c r="O36" s="123"/>
    </row>
    <row r="37" spans="1:15" x14ac:dyDescent="0.3">
      <c r="A37" s="126"/>
      <c r="B37" s="135"/>
      <c r="C37" s="135"/>
      <c r="D37" s="135"/>
      <c r="E37" s="159"/>
      <c r="F37" s="159"/>
      <c r="G37" s="155"/>
      <c r="H37" s="143"/>
      <c r="I37" s="162"/>
      <c r="J37" s="162"/>
      <c r="K37" s="162"/>
      <c r="L37" s="162"/>
      <c r="M37" s="162"/>
      <c r="O37" s="123"/>
    </row>
    <row r="38" spans="1:15" x14ac:dyDescent="0.3">
      <c r="A38" s="126" t="s">
        <v>188</v>
      </c>
      <c r="B38" s="157">
        <v>3</v>
      </c>
      <c r="C38" s="135"/>
      <c r="D38" s="135"/>
      <c r="E38" s="159"/>
      <c r="F38" s="159"/>
      <c r="G38" s="155"/>
      <c r="H38" s="143"/>
      <c r="I38" s="163"/>
      <c r="J38" s="163"/>
      <c r="K38" s="163"/>
      <c r="L38" s="163"/>
      <c r="M38" s="163"/>
      <c r="N38" s="123"/>
      <c r="O38" s="123"/>
    </row>
    <row r="39" spans="1:15" x14ac:dyDescent="0.3">
      <c r="A39" s="126" t="s">
        <v>189</v>
      </c>
      <c r="B39" s="157">
        <v>0</v>
      </c>
      <c r="C39" s="135"/>
      <c r="D39" s="135"/>
      <c r="E39" s="159"/>
      <c r="F39" s="159"/>
      <c r="G39" s="155"/>
      <c r="H39" s="143"/>
      <c r="I39" s="162"/>
      <c r="J39" s="162"/>
      <c r="K39" s="162"/>
      <c r="L39" s="162"/>
      <c r="M39" s="162"/>
      <c r="O39" s="123"/>
    </row>
    <row r="40" spans="1:15" x14ac:dyDescent="0.3">
      <c r="A40" s="126" t="s">
        <v>190</v>
      </c>
      <c r="B40" s="157">
        <v>8</v>
      </c>
      <c r="C40" s="135"/>
      <c r="D40" s="135"/>
      <c r="E40" s="159"/>
      <c r="F40" s="159"/>
      <c r="G40" s="155"/>
      <c r="H40" s="143"/>
      <c r="I40" s="162"/>
      <c r="J40" s="162"/>
      <c r="K40" s="162"/>
      <c r="L40" s="162"/>
      <c r="M40" s="162"/>
      <c r="O40" s="123"/>
    </row>
    <row r="41" spans="1:15" x14ac:dyDescent="0.3">
      <c r="A41" s="126" t="s">
        <v>191</v>
      </c>
      <c r="B41" s="157">
        <v>0</v>
      </c>
      <c r="C41" s="135"/>
      <c r="D41" s="135"/>
      <c r="E41" s="159"/>
      <c r="F41" s="159"/>
      <c r="G41" s="155"/>
      <c r="H41" s="143"/>
      <c r="O41" s="123"/>
    </row>
    <row r="42" spans="1:15" x14ac:dyDescent="0.3">
      <c r="A42" s="126" t="s">
        <v>192</v>
      </c>
      <c r="B42" s="157">
        <v>2</v>
      </c>
      <c r="C42" s="135"/>
      <c r="D42" s="135"/>
      <c r="E42" s="159"/>
      <c r="F42" s="159"/>
      <c r="G42" s="155"/>
      <c r="H42" s="143"/>
      <c r="O42" s="123"/>
    </row>
    <row r="43" spans="1:15" x14ac:dyDescent="0.3">
      <c r="A43" s="126" t="s">
        <v>193</v>
      </c>
      <c r="B43" s="157">
        <v>0</v>
      </c>
      <c r="C43" s="135"/>
      <c r="D43" s="135"/>
      <c r="E43" s="159"/>
      <c r="F43" s="159"/>
      <c r="G43" s="155"/>
      <c r="H43" s="143"/>
      <c r="I43" s="143"/>
      <c r="J43" s="123"/>
      <c r="K43" s="123"/>
      <c r="L43" s="123"/>
      <c r="M43" s="123"/>
      <c r="N43" s="123"/>
      <c r="O43" s="123"/>
    </row>
    <row r="44" spans="1:15" x14ac:dyDescent="0.3">
      <c r="A44" s="126"/>
      <c r="B44" s="135"/>
      <c r="C44" s="135"/>
      <c r="D44" s="135"/>
      <c r="E44" s="159"/>
      <c r="F44" s="159"/>
      <c r="G44" s="155"/>
      <c r="H44" s="143"/>
      <c r="I44" s="143"/>
      <c r="J44" s="123"/>
      <c r="K44" s="123"/>
      <c r="L44" s="123"/>
      <c r="M44" s="123"/>
      <c r="N44" s="123"/>
      <c r="O44" s="123"/>
    </row>
    <row r="45" spans="1:15" x14ac:dyDescent="0.3">
      <c r="A45" s="128" t="s">
        <v>194</v>
      </c>
      <c r="B45" s="164">
        <v>20</v>
      </c>
      <c r="C45" s="165"/>
      <c r="D45" s="135"/>
      <c r="E45" s="159"/>
      <c r="F45" s="159"/>
      <c r="G45" s="155"/>
      <c r="H45" s="143"/>
      <c r="I45" s="143"/>
      <c r="J45" s="123"/>
      <c r="K45" s="123"/>
      <c r="L45" s="123"/>
      <c r="M45" s="123"/>
      <c r="N45" s="123"/>
      <c r="O45" s="123"/>
    </row>
    <row r="46" spans="1:15" x14ac:dyDescent="0.3">
      <c r="A46" s="128" t="s">
        <v>195</v>
      </c>
      <c r="B46" s="164">
        <v>1</v>
      </c>
      <c r="C46" s="165"/>
      <c r="D46" s="159"/>
      <c r="E46" s="159"/>
      <c r="F46" s="159"/>
      <c r="G46" s="166"/>
      <c r="H46" s="123"/>
      <c r="I46" s="143"/>
      <c r="J46" s="123"/>
      <c r="K46" s="167" t="s">
        <v>196</v>
      </c>
      <c r="L46" s="123"/>
      <c r="M46" s="123"/>
      <c r="N46" s="123"/>
      <c r="O46" s="123"/>
    </row>
    <row r="47" spans="1:15" x14ac:dyDescent="0.3">
      <c r="A47" s="126"/>
      <c r="B47" s="135"/>
      <c r="C47" s="135"/>
      <c r="D47" s="159"/>
      <c r="E47" s="159"/>
      <c r="F47" s="159"/>
      <c r="G47" s="166"/>
      <c r="H47" s="123"/>
      <c r="I47" s="123"/>
      <c r="J47" s="123"/>
      <c r="K47" s="123"/>
      <c r="L47" s="123"/>
      <c r="M47" s="123"/>
      <c r="N47" s="123"/>
      <c r="O47" s="123"/>
    </row>
    <row r="48" spans="1:15" x14ac:dyDescent="0.3">
      <c r="A48" s="128" t="s">
        <v>197</v>
      </c>
      <c r="B48" s="164">
        <v>0</v>
      </c>
      <c r="C48" s="165"/>
      <c r="D48" s="135"/>
      <c r="E48" s="159"/>
      <c r="F48" s="159"/>
      <c r="G48" s="166"/>
      <c r="H48" s="123"/>
      <c r="I48" s="123"/>
      <c r="J48" s="123"/>
      <c r="K48" s="123"/>
      <c r="L48" s="123"/>
      <c r="M48" s="123"/>
      <c r="N48" s="123"/>
      <c r="O48" s="123"/>
    </row>
    <row r="49" spans="1:15" x14ac:dyDescent="0.3">
      <c r="A49" s="128" t="s">
        <v>198</v>
      </c>
      <c r="B49" s="164">
        <v>0</v>
      </c>
      <c r="C49" s="160"/>
      <c r="D49" s="135"/>
      <c r="E49" s="159"/>
      <c r="F49" s="159"/>
      <c r="G49" s="166"/>
      <c r="H49" s="123"/>
      <c r="I49" s="123"/>
      <c r="J49" s="123"/>
      <c r="K49" s="123"/>
      <c r="L49" s="123"/>
      <c r="M49" s="123"/>
      <c r="N49" s="123"/>
      <c r="O49" s="123"/>
    </row>
    <row r="50" spans="1:15" x14ac:dyDescent="0.3">
      <c r="A50" s="128" t="s">
        <v>199</v>
      </c>
      <c r="B50" s="164">
        <v>0</v>
      </c>
      <c r="C50" s="160"/>
      <c r="D50" s="135"/>
      <c r="E50" s="159"/>
      <c r="F50" s="159"/>
      <c r="G50" s="166"/>
      <c r="H50" s="123"/>
      <c r="I50" s="123"/>
      <c r="J50" s="123"/>
      <c r="K50" s="123"/>
      <c r="L50" s="123"/>
      <c r="M50" s="123"/>
      <c r="N50" s="123"/>
      <c r="O50" s="123"/>
    </row>
    <row r="51" spans="1:15" ht="40.200000000000003" x14ac:dyDescent="0.3">
      <c r="A51" s="128" t="s">
        <v>200</v>
      </c>
      <c r="B51" s="164">
        <v>0</v>
      </c>
      <c r="C51" s="135" t="s">
        <v>201</v>
      </c>
      <c r="D51" s="159"/>
      <c r="E51" s="159"/>
      <c r="F51" s="159"/>
      <c r="G51" s="166"/>
      <c r="H51" s="123"/>
      <c r="I51" s="123"/>
      <c r="J51" s="123"/>
      <c r="K51" s="123"/>
      <c r="L51" s="123"/>
      <c r="M51" s="123"/>
      <c r="N51" s="123"/>
      <c r="O51" s="123"/>
    </row>
    <row r="52" spans="1:15" x14ac:dyDescent="0.3">
      <c r="A52" s="128" t="s">
        <v>202</v>
      </c>
      <c r="B52" s="164">
        <v>0</v>
      </c>
      <c r="C52" s="165"/>
      <c r="D52" s="135"/>
      <c r="E52" s="159"/>
      <c r="F52" s="159"/>
      <c r="G52" s="166"/>
      <c r="H52" s="123"/>
      <c r="I52" s="123"/>
      <c r="J52" s="123"/>
      <c r="K52" s="123"/>
      <c r="L52" s="123"/>
      <c r="M52" s="123"/>
      <c r="N52" s="123"/>
      <c r="O52" s="123"/>
    </row>
    <row r="53" spans="1:15" x14ac:dyDescent="0.3">
      <c r="A53" s="128" t="s">
        <v>203</v>
      </c>
      <c r="B53" s="164">
        <v>0</v>
      </c>
      <c r="C53" s="165" t="s">
        <v>204</v>
      </c>
      <c r="D53" s="135"/>
      <c r="E53" s="159"/>
      <c r="F53" s="159"/>
      <c r="G53" s="166"/>
      <c r="H53" s="123"/>
      <c r="I53" s="123"/>
      <c r="J53" s="123"/>
      <c r="K53" s="123"/>
      <c r="L53" s="123"/>
      <c r="M53" s="123"/>
      <c r="N53" s="123"/>
      <c r="O53" s="123"/>
    </row>
    <row r="54" spans="1:15" x14ac:dyDescent="0.3">
      <c r="A54" s="168"/>
      <c r="B54" s="169"/>
      <c r="C54" s="145"/>
      <c r="D54" s="133"/>
      <c r="E54" s="161"/>
      <c r="F54" s="161"/>
      <c r="G54" s="170"/>
      <c r="H54" s="123"/>
      <c r="I54" s="123"/>
      <c r="J54" s="123"/>
      <c r="K54" s="123"/>
      <c r="L54" s="123"/>
      <c r="M54" s="123"/>
      <c r="N54" s="123"/>
      <c r="O54" s="123"/>
    </row>
    <row r="55" spans="1:15" x14ac:dyDescent="0.3">
      <c r="A55" s="165"/>
      <c r="B55" s="171"/>
      <c r="C55" s="165"/>
      <c r="D55" s="135"/>
      <c r="E55" s="127"/>
      <c r="F55" s="127"/>
      <c r="G55" s="127"/>
      <c r="H55" s="123"/>
      <c r="I55" s="123"/>
      <c r="J55" s="123"/>
      <c r="K55" s="123"/>
      <c r="L55" s="123"/>
      <c r="M55" s="123"/>
      <c r="N55" s="123"/>
      <c r="O55" s="123"/>
    </row>
    <row r="56" spans="1:15" x14ac:dyDescent="0.3">
      <c r="A56" s="124" t="s">
        <v>205</v>
      </c>
      <c r="B56" s="172"/>
      <c r="C56" s="134"/>
      <c r="D56" s="125"/>
      <c r="E56" s="127"/>
      <c r="F56" s="173"/>
      <c r="G56" s="173"/>
      <c r="L56" s="123"/>
      <c r="M56" s="123"/>
      <c r="N56" s="123"/>
      <c r="O56" s="123"/>
    </row>
    <row r="57" spans="1:15" ht="15" customHeight="1" x14ac:dyDescent="0.3">
      <c r="A57" s="128" t="s">
        <v>206</v>
      </c>
      <c r="B57" s="141">
        <f>((6.3*12)*4)*28+((6.3*6)*28)</f>
        <v>9525.5999999999985</v>
      </c>
      <c r="C57" s="137" t="s">
        <v>207</v>
      </c>
      <c r="D57" s="138"/>
      <c r="E57" s="312" t="s">
        <v>208</v>
      </c>
      <c r="F57" s="312"/>
      <c r="G57" s="312"/>
      <c r="H57" s="1" t="s">
        <v>209</v>
      </c>
      <c r="L57" s="123"/>
      <c r="M57" s="123"/>
      <c r="N57" s="123"/>
      <c r="O57" s="123"/>
    </row>
    <row r="58" spans="1:15" x14ac:dyDescent="0.3">
      <c r="A58" s="128" t="s">
        <v>210</v>
      </c>
      <c r="B58" s="141">
        <f>((6.30501*9)*4)*23</f>
        <v>5220.5482800000009</v>
      </c>
      <c r="C58" s="137" t="s">
        <v>207</v>
      </c>
      <c r="D58" s="138"/>
      <c r="E58" s="312"/>
      <c r="F58" s="312"/>
      <c r="G58" s="312"/>
      <c r="L58" s="123"/>
      <c r="M58" s="123"/>
      <c r="N58" s="123"/>
      <c r="O58" s="123"/>
    </row>
    <row r="59" spans="1:15" x14ac:dyDescent="0.3">
      <c r="A59" s="128" t="s">
        <v>211</v>
      </c>
      <c r="B59" s="141">
        <v>3.15</v>
      </c>
      <c r="C59" s="137" t="s">
        <v>147</v>
      </c>
      <c r="D59" s="138"/>
      <c r="E59" s="312"/>
      <c r="F59" s="312"/>
      <c r="G59" s="312"/>
      <c r="L59" s="123"/>
      <c r="M59" s="123"/>
      <c r="N59" s="123"/>
      <c r="O59" s="123"/>
    </row>
    <row r="60" spans="1:15" x14ac:dyDescent="0.3">
      <c r="A60" s="128" t="s">
        <v>212</v>
      </c>
      <c r="B60" s="141">
        <v>6.3</v>
      </c>
      <c r="C60" s="137" t="s">
        <v>147</v>
      </c>
      <c r="D60" s="138"/>
      <c r="E60" s="312"/>
      <c r="F60" s="312"/>
      <c r="G60" s="312"/>
      <c r="H60" s="123"/>
      <c r="I60" s="123"/>
      <c r="J60" s="123"/>
      <c r="K60" s="123"/>
      <c r="L60" s="123"/>
      <c r="M60" s="123"/>
      <c r="N60" s="123"/>
      <c r="O60" s="123"/>
    </row>
    <row r="61" spans="1:15" x14ac:dyDescent="0.3">
      <c r="A61" s="130" t="s">
        <v>213</v>
      </c>
      <c r="B61" s="144">
        <v>3.15</v>
      </c>
      <c r="C61" s="145" t="s">
        <v>147</v>
      </c>
      <c r="D61" s="146"/>
      <c r="E61" s="312"/>
      <c r="F61" s="312"/>
      <c r="G61" s="312"/>
      <c r="H61" s="123"/>
      <c r="I61" s="123"/>
      <c r="J61" s="123"/>
      <c r="K61" s="123"/>
      <c r="L61" s="123"/>
      <c r="M61" s="123"/>
      <c r="N61" s="123"/>
      <c r="O61" s="123"/>
    </row>
    <row r="62" spans="1:15" x14ac:dyDescent="0.3">
      <c r="A62" s="173"/>
      <c r="B62" s="173"/>
      <c r="C62" s="173"/>
      <c r="D62" s="149"/>
      <c r="E62" s="135"/>
      <c r="F62" s="135"/>
      <c r="G62" s="159"/>
      <c r="H62" s="123"/>
      <c r="I62" s="123"/>
      <c r="J62" s="123"/>
      <c r="K62" s="123"/>
      <c r="L62" s="123"/>
      <c r="M62" s="123"/>
      <c r="N62" s="123"/>
      <c r="O62" s="123"/>
    </row>
    <row r="63" spans="1:15" x14ac:dyDescent="0.3">
      <c r="A63" s="148" t="s">
        <v>214</v>
      </c>
      <c r="B63" s="147"/>
      <c r="C63" s="174"/>
      <c r="D63" s="160" t="s">
        <v>215</v>
      </c>
      <c r="E63" s="135"/>
      <c r="F63" s="135"/>
      <c r="G63" s="127"/>
      <c r="H63" s="123"/>
      <c r="I63" s="123"/>
      <c r="J63" s="123"/>
      <c r="K63" s="123"/>
      <c r="L63" s="123"/>
      <c r="M63" s="123"/>
      <c r="N63" s="123"/>
      <c r="O63" s="123"/>
    </row>
    <row r="64" spans="1:15" x14ac:dyDescent="0.3">
      <c r="A64" s="126" t="s">
        <v>216</v>
      </c>
      <c r="B64" s="175">
        <v>400</v>
      </c>
      <c r="C64" s="176" t="s">
        <v>217</v>
      </c>
      <c r="D64" s="160"/>
      <c r="E64" s="135"/>
      <c r="F64" s="135"/>
      <c r="G64" s="127"/>
      <c r="H64" s="123"/>
      <c r="I64" s="123"/>
      <c r="J64" s="123"/>
      <c r="K64" s="123"/>
      <c r="L64" s="123"/>
      <c r="M64" s="123"/>
      <c r="N64" s="123"/>
      <c r="O64" s="123"/>
    </row>
    <row r="65" spans="1:15" x14ac:dyDescent="0.3">
      <c r="A65" s="126" t="s">
        <v>218</v>
      </c>
      <c r="B65" s="157">
        <v>65</v>
      </c>
      <c r="C65" s="176" t="s">
        <v>217</v>
      </c>
      <c r="D65" s="160"/>
      <c r="E65" s="135"/>
      <c r="F65" s="135"/>
      <c r="G65" s="127"/>
      <c r="H65" s="123"/>
      <c r="I65" s="123"/>
      <c r="J65" s="123"/>
      <c r="K65" s="123"/>
      <c r="L65" s="123"/>
      <c r="M65" s="123"/>
      <c r="N65" s="123"/>
      <c r="O65" s="123"/>
    </row>
    <row r="66" spans="1:15" x14ac:dyDescent="0.3">
      <c r="A66" s="133" t="s">
        <v>219</v>
      </c>
      <c r="B66" s="177">
        <v>60000</v>
      </c>
      <c r="C66" s="178" t="s">
        <v>217</v>
      </c>
      <c r="D66" s="160"/>
      <c r="E66" s="135"/>
      <c r="F66" s="135"/>
      <c r="G66" s="127"/>
      <c r="H66" s="123"/>
      <c r="I66" s="123"/>
      <c r="J66" s="123"/>
      <c r="K66" s="123"/>
      <c r="L66" s="123"/>
      <c r="M66" s="123"/>
      <c r="N66" s="123"/>
      <c r="O66" s="123"/>
    </row>
    <row r="67" spans="1:15" x14ac:dyDescent="0.3">
      <c r="A67" s="135"/>
      <c r="B67" s="135"/>
      <c r="C67" s="135"/>
      <c r="D67" s="160"/>
      <c r="E67" s="135"/>
      <c r="F67" s="135"/>
      <c r="G67" s="127"/>
      <c r="H67" s="123"/>
      <c r="I67" s="123"/>
      <c r="J67" s="123"/>
      <c r="K67" s="123"/>
      <c r="L67" s="123"/>
      <c r="M67" s="123"/>
      <c r="N67" s="123"/>
      <c r="O67" s="123"/>
    </row>
    <row r="68" spans="1:15" x14ac:dyDescent="0.3">
      <c r="A68" s="148" t="s">
        <v>220</v>
      </c>
      <c r="B68" s="147"/>
      <c r="C68" s="174"/>
      <c r="D68" s="160"/>
      <c r="E68" s="135"/>
      <c r="F68" s="135"/>
      <c r="G68" s="127"/>
      <c r="H68" s="123"/>
      <c r="I68" s="123"/>
      <c r="J68" s="123"/>
      <c r="K68" s="123"/>
      <c r="L68" s="123"/>
      <c r="M68" s="123"/>
      <c r="N68" s="123"/>
      <c r="O68" s="123"/>
    </row>
    <row r="69" spans="1:15" x14ac:dyDescent="0.3">
      <c r="A69" s="126" t="s">
        <v>221</v>
      </c>
      <c r="B69" s="157">
        <v>90000</v>
      </c>
      <c r="C69" s="176" t="s">
        <v>217</v>
      </c>
      <c r="D69" s="160"/>
      <c r="E69" s="135"/>
      <c r="F69" s="135"/>
      <c r="G69" s="127"/>
      <c r="H69" s="123"/>
      <c r="I69" s="123"/>
      <c r="J69" s="123"/>
      <c r="K69" s="123"/>
      <c r="L69" s="123"/>
      <c r="M69" s="123"/>
      <c r="N69" s="123"/>
      <c r="O69" s="123"/>
    </row>
    <row r="70" spans="1:15" x14ac:dyDescent="0.3">
      <c r="A70" s="126" t="s">
        <v>210</v>
      </c>
      <c r="B70" s="157">
        <v>60000</v>
      </c>
      <c r="C70" s="176" t="s">
        <v>217</v>
      </c>
      <c r="D70" s="160"/>
      <c r="E70" s="135"/>
      <c r="F70" s="135"/>
      <c r="G70" s="127"/>
      <c r="H70" s="123"/>
      <c r="I70" s="123"/>
      <c r="J70" s="123"/>
      <c r="K70" s="123"/>
      <c r="L70" s="123"/>
      <c r="M70" s="123"/>
      <c r="N70" s="123"/>
      <c r="O70" s="123"/>
    </row>
    <row r="71" spans="1:15" x14ac:dyDescent="0.3">
      <c r="A71" s="152" t="s">
        <v>222</v>
      </c>
      <c r="B71" s="157">
        <v>15000</v>
      </c>
      <c r="C71" s="176" t="s">
        <v>217</v>
      </c>
      <c r="D71" s="160"/>
      <c r="E71" s="135"/>
      <c r="F71" s="135"/>
      <c r="G71" s="127"/>
      <c r="H71" s="123"/>
      <c r="I71" s="123"/>
      <c r="J71" s="123"/>
      <c r="K71" s="123"/>
      <c r="L71" s="123"/>
      <c r="M71" s="123"/>
      <c r="N71" s="123"/>
      <c r="O71" s="123"/>
    </row>
    <row r="72" spans="1:15" x14ac:dyDescent="0.3">
      <c r="A72" s="152" t="s">
        <v>223</v>
      </c>
      <c r="B72" s="157">
        <v>30000</v>
      </c>
      <c r="C72" s="176" t="s">
        <v>217</v>
      </c>
      <c r="D72" s="160"/>
      <c r="E72" s="135"/>
      <c r="F72" s="135"/>
      <c r="G72" s="127"/>
      <c r="H72" s="123"/>
      <c r="I72" s="123"/>
      <c r="J72" s="123"/>
      <c r="K72" s="123"/>
      <c r="L72" s="123"/>
      <c r="M72" s="123"/>
      <c r="N72" s="123"/>
      <c r="O72" s="123"/>
    </row>
    <row r="73" spans="1:15" x14ac:dyDescent="0.3">
      <c r="A73" s="152" t="s">
        <v>213</v>
      </c>
      <c r="B73" s="157">
        <v>40000</v>
      </c>
      <c r="C73" s="176" t="s">
        <v>217</v>
      </c>
      <c r="D73" s="160"/>
      <c r="E73" s="135"/>
      <c r="F73" s="135"/>
      <c r="G73" s="127"/>
      <c r="H73" s="123"/>
      <c r="I73" s="123"/>
      <c r="J73" s="123"/>
      <c r="K73" s="123"/>
      <c r="L73" s="123"/>
      <c r="M73" s="123"/>
      <c r="N73" s="123"/>
      <c r="O73" s="123"/>
    </row>
    <row r="74" spans="1:15" x14ac:dyDescent="0.3">
      <c r="A74" s="168" t="s">
        <v>211</v>
      </c>
      <c r="B74" s="177">
        <v>10000</v>
      </c>
      <c r="C74" s="178" t="s">
        <v>217</v>
      </c>
      <c r="D74" s="160"/>
      <c r="E74" s="135"/>
      <c r="F74" s="135"/>
      <c r="G74" s="127"/>
      <c r="H74" s="123"/>
      <c r="I74" s="123"/>
      <c r="J74" s="123"/>
      <c r="K74" s="123"/>
      <c r="L74" s="123"/>
      <c r="M74" s="123"/>
      <c r="N74" s="123"/>
      <c r="O74" s="123"/>
    </row>
    <row r="75" spans="1:15" x14ac:dyDescent="0.3">
      <c r="A75" s="135"/>
      <c r="B75" s="135"/>
      <c r="C75" s="135"/>
      <c r="D75" s="135"/>
      <c r="E75" s="127"/>
      <c r="F75" s="127"/>
      <c r="G75" s="127"/>
      <c r="H75" s="123"/>
      <c r="I75" s="123"/>
      <c r="J75" s="123"/>
      <c r="K75" s="123"/>
      <c r="L75" s="123"/>
      <c r="M75" s="123"/>
      <c r="N75" s="123"/>
      <c r="O75" s="123"/>
    </row>
    <row r="76" spans="1:15" x14ac:dyDescent="0.3">
      <c r="A76" s="124" t="s">
        <v>224</v>
      </c>
      <c r="B76" s="150"/>
      <c r="C76" s="150"/>
      <c r="D76" s="150"/>
      <c r="E76" s="125"/>
      <c r="F76" s="127"/>
      <c r="G76" s="127"/>
      <c r="H76" s="123"/>
      <c r="I76" s="123"/>
      <c r="J76" s="123"/>
      <c r="K76" s="123"/>
      <c r="L76" s="123"/>
      <c r="M76" s="123"/>
      <c r="N76" s="123"/>
      <c r="O76" s="123"/>
    </row>
    <row r="77" spans="1:15" x14ac:dyDescent="0.3">
      <c r="A77" s="128" t="s">
        <v>225</v>
      </c>
      <c r="B77" s="164">
        <v>1</v>
      </c>
      <c r="C77" s="165" t="s">
        <v>226</v>
      </c>
      <c r="D77" s="164">
        <v>1600</v>
      </c>
      <c r="E77" s="138" t="s">
        <v>227</v>
      </c>
      <c r="F77" s="127"/>
      <c r="G77" s="127"/>
      <c r="H77" s="123"/>
      <c r="I77" s="123"/>
      <c r="J77" s="123"/>
      <c r="K77" s="123"/>
      <c r="L77" s="123"/>
      <c r="M77" s="123"/>
      <c r="N77" s="123"/>
      <c r="O77" s="123"/>
    </row>
    <row r="78" spans="1:15" x14ac:dyDescent="0.3">
      <c r="A78" s="128" t="s">
        <v>228</v>
      </c>
      <c r="B78" s="164">
        <v>1</v>
      </c>
      <c r="C78" s="165" t="s">
        <v>226</v>
      </c>
      <c r="D78" s="164">
        <v>1600</v>
      </c>
      <c r="E78" s="138" t="s">
        <v>227</v>
      </c>
      <c r="F78" s="127" t="s">
        <v>229</v>
      </c>
      <c r="G78" s="127"/>
      <c r="H78" s="123"/>
      <c r="I78" s="123"/>
      <c r="J78" s="123"/>
      <c r="K78" s="123"/>
      <c r="L78" s="123"/>
      <c r="M78" s="123"/>
      <c r="N78" s="123"/>
      <c r="O78" s="123"/>
    </row>
    <row r="79" spans="1:15" x14ac:dyDescent="0.3">
      <c r="A79" s="130" t="s">
        <v>230</v>
      </c>
      <c r="B79" s="144">
        <v>1</v>
      </c>
      <c r="C79" s="145" t="s">
        <v>226</v>
      </c>
      <c r="D79" s="144">
        <v>2000</v>
      </c>
      <c r="E79" s="146" t="s">
        <v>227</v>
      </c>
      <c r="F79" s="127"/>
      <c r="G79" s="127"/>
      <c r="H79" s="123"/>
      <c r="I79" s="123"/>
      <c r="J79" s="123"/>
      <c r="K79" s="123"/>
      <c r="L79" s="123"/>
      <c r="M79" s="123"/>
      <c r="N79" s="123"/>
      <c r="O79" s="123"/>
    </row>
    <row r="80" spans="1:15" x14ac:dyDescent="0.3">
      <c r="A80" s="173"/>
      <c r="B80" s="173"/>
      <c r="C80" s="173"/>
      <c r="D80" s="173"/>
      <c r="E80" s="173"/>
      <c r="F80" s="127"/>
      <c r="G80" s="127"/>
      <c r="H80" s="123"/>
      <c r="I80" s="123"/>
      <c r="J80" s="123"/>
      <c r="K80" s="123"/>
      <c r="L80" s="123"/>
      <c r="M80" s="123"/>
      <c r="N80" s="123"/>
      <c r="O80" s="123"/>
    </row>
    <row r="81" spans="1:15" x14ac:dyDescent="0.3">
      <c r="A81" s="124" t="s">
        <v>231</v>
      </c>
      <c r="B81" s="150"/>
      <c r="C81" s="150"/>
      <c r="D81" s="150"/>
      <c r="E81" s="125"/>
      <c r="F81" s="127"/>
      <c r="G81" s="127"/>
      <c r="H81" s="123"/>
      <c r="I81" s="123"/>
      <c r="J81" s="123"/>
      <c r="K81" s="123"/>
      <c r="L81" s="123"/>
      <c r="M81" s="123"/>
      <c r="N81" s="123"/>
      <c r="O81" s="123"/>
    </row>
    <row r="82" spans="1:15" x14ac:dyDescent="0.3">
      <c r="A82" s="128" t="s">
        <v>225</v>
      </c>
      <c r="B82" s="164">
        <v>1</v>
      </c>
      <c r="C82" s="165" t="s">
        <v>226</v>
      </c>
      <c r="D82" s="179">
        <v>1600</v>
      </c>
      <c r="E82" s="138" t="s">
        <v>227</v>
      </c>
      <c r="F82" s="127"/>
      <c r="G82" s="127"/>
      <c r="H82" s="123"/>
      <c r="I82" s="123"/>
      <c r="J82" s="123"/>
      <c r="K82" s="123"/>
      <c r="L82" s="123"/>
      <c r="M82" s="123"/>
      <c r="N82" s="123"/>
      <c r="O82" s="123"/>
    </row>
    <row r="83" spans="1:15" x14ac:dyDescent="0.3">
      <c r="A83" s="128" t="s">
        <v>228</v>
      </c>
      <c r="B83" s="164">
        <v>1</v>
      </c>
      <c r="C83" s="165" t="s">
        <v>226</v>
      </c>
      <c r="D83" s="179">
        <v>1600</v>
      </c>
      <c r="E83" s="138" t="s">
        <v>227</v>
      </c>
      <c r="F83" s="127"/>
      <c r="G83" s="127"/>
      <c r="H83" s="123"/>
      <c r="I83" s="123"/>
      <c r="J83" s="123"/>
      <c r="K83" s="123"/>
      <c r="L83" s="123"/>
      <c r="M83" s="123"/>
      <c r="N83" s="123"/>
      <c r="O83" s="123"/>
    </row>
    <row r="84" spans="1:15" x14ac:dyDescent="0.3">
      <c r="A84" s="130" t="s">
        <v>230</v>
      </c>
      <c r="B84" s="144">
        <v>1</v>
      </c>
      <c r="C84" s="145" t="s">
        <v>226</v>
      </c>
      <c r="D84" s="180">
        <v>2000</v>
      </c>
      <c r="E84" s="146" t="s">
        <v>227</v>
      </c>
      <c r="F84" s="127"/>
      <c r="G84" s="127"/>
      <c r="H84" s="123"/>
      <c r="I84" s="123"/>
      <c r="J84" s="123"/>
      <c r="K84" s="123"/>
      <c r="L84" s="123"/>
      <c r="M84" s="123"/>
      <c r="N84" s="123"/>
      <c r="O84" s="123"/>
    </row>
    <row r="85" spans="1:15" x14ac:dyDescent="0.3">
      <c r="A85" s="133"/>
      <c r="B85" s="133"/>
      <c r="C85" s="133"/>
      <c r="D85" s="133"/>
      <c r="E85" s="127"/>
      <c r="F85" s="127"/>
      <c r="G85" s="127"/>
      <c r="H85" s="123"/>
      <c r="I85" s="123"/>
      <c r="J85" s="123"/>
      <c r="K85" s="123"/>
      <c r="L85" s="123"/>
      <c r="M85" s="123"/>
      <c r="N85" s="123"/>
      <c r="O85" s="123"/>
    </row>
    <row r="86" spans="1:15" x14ac:dyDescent="0.3">
      <c r="A86" s="124" t="s">
        <v>232</v>
      </c>
      <c r="B86" s="134" t="s">
        <v>233</v>
      </c>
      <c r="C86" s="134" t="s">
        <v>234</v>
      </c>
      <c r="D86" s="125" t="s">
        <v>235</v>
      </c>
      <c r="E86" s="126"/>
      <c r="F86" s="135"/>
      <c r="G86" s="127"/>
      <c r="H86" s="123"/>
      <c r="I86" s="123"/>
      <c r="J86" s="123"/>
      <c r="K86" s="123"/>
      <c r="L86" s="123"/>
      <c r="M86" s="123"/>
      <c r="N86" s="123"/>
      <c r="O86" s="123"/>
    </row>
    <row r="87" spans="1:15" x14ac:dyDescent="0.3">
      <c r="A87" s="128" t="s">
        <v>236</v>
      </c>
      <c r="B87" s="141">
        <v>700</v>
      </c>
      <c r="C87" s="141">
        <v>450</v>
      </c>
      <c r="D87" s="181">
        <v>0.55000000000000004</v>
      </c>
      <c r="E87" s="126"/>
      <c r="F87" s="135"/>
      <c r="G87" s="127"/>
      <c r="H87" s="123"/>
      <c r="I87" s="123"/>
      <c r="J87" s="123"/>
      <c r="K87" s="123"/>
      <c r="L87" s="123"/>
      <c r="M87" s="123"/>
      <c r="N87" s="123"/>
      <c r="O87" s="123"/>
    </row>
    <row r="88" spans="1:15" x14ac:dyDescent="0.3">
      <c r="A88" s="128" t="s">
        <v>237</v>
      </c>
      <c r="B88" s="141">
        <v>700</v>
      </c>
      <c r="C88" s="141">
        <v>450</v>
      </c>
      <c r="D88" s="181">
        <v>0.65</v>
      </c>
      <c r="E88" s="126"/>
      <c r="F88" s="135"/>
      <c r="G88" s="127"/>
      <c r="H88" s="123"/>
      <c r="I88" s="123"/>
      <c r="J88" s="123"/>
      <c r="K88" s="123"/>
      <c r="L88" s="123"/>
      <c r="M88" s="123"/>
      <c r="N88" s="123"/>
      <c r="O88" s="123"/>
    </row>
    <row r="89" spans="1:15" x14ac:dyDescent="0.3">
      <c r="A89" s="128" t="s">
        <v>238</v>
      </c>
      <c r="B89" s="141">
        <v>700</v>
      </c>
      <c r="C89" s="141">
        <v>900</v>
      </c>
      <c r="D89" s="181">
        <v>0.65</v>
      </c>
      <c r="E89" s="126"/>
      <c r="F89" s="135"/>
      <c r="G89" s="127"/>
      <c r="H89" s="123"/>
      <c r="I89" s="123"/>
      <c r="J89" s="123"/>
      <c r="K89" s="123"/>
      <c r="L89" s="123"/>
      <c r="M89" s="123"/>
      <c r="N89" s="123"/>
      <c r="O89" s="123"/>
    </row>
    <row r="90" spans="1:15" x14ac:dyDescent="0.3">
      <c r="A90" s="128" t="s">
        <v>239</v>
      </c>
      <c r="B90" s="141">
        <v>500</v>
      </c>
      <c r="C90" s="141">
        <v>500</v>
      </c>
      <c r="D90" s="181">
        <v>0.7</v>
      </c>
      <c r="E90" s="126"/>
      <c r="F90" s="135"/>
      <c r="G90" s="127"/>
      <c r="H90" s="123"/>
      <c r="I90" s="123"/>
      <c r="J90" s="123"/>
      <c r="K90" s="123"/>
      <c r="L90" s="123"/>
      <c r="M90" s="123"/>
      <c r="N90" s="123"/>
      <c r="O90" s="123"/>
    </row>
    <row r="91" spans="1:15" x14ac:dyDescent="0.3">
      <c r="A91" s="128" t="s">
        <v>240</v>
      </c>
      <c r="B91" s="141">
        <v>800</v>
      </c>
      <c r="C91" s="141">
        <v>1100</v>
      </c>
      <c r="D91" s="181">
        <v>0.65</v>
      </c>
      <c r="E91" s="126"/>
      <c r="F91" s="135"/>
      <c r="G91" s="127"/>
      <c r="H91" s="123"/>
      <c r="I91" s="123"/>
      <c r="J91" s="123"/>
      <c r="K91" s="123"/>
      <c r="L91" s="123"/>
      <c r="M91" s="123"/>
      <c r="N91" s="123"/>
      <c r="O91" s="123"/>
    </row>
    <row r="92" spans="1:15" x14ac:dyDescent="0.3">
      <c r="A92" s="130" t="s">
        <v>241</v>
      </c>
      <c r="B92" s="144">
        <v>1100</v>
      </c>
      <c r="C92" s="144">
        <v>1200</v>
      </c>
      <c r="D92" s="182">
        <v>0.9</v>
      </c>
      <c r="E92" s="126"/>
      <c r="F92" s="135"/>
      <c r="G92" s="127"/>
      <c r="H92" s="123"/>
      <c r="I92" s="123"/>
      <c r="J92" s="123"/>
      <c r="K92" s="123"/>
      <c r="L92" s="123"/>
      <c r="M92" s="123"/>
      <c r="N92" s="123"/>
      <c r="O92" s="123"/>
    </row>
    <row r="93" spans="1:15" x14ac:dyDescent="0.3">
      <c r="A93" s="132"/>
      <c r="B93" s="132"/>
      <c r="C93" s="147"/>
      <c r="D93" s="147"/>
      <c r="E93" s="127"/>
      <c r="F93" s="127"/>
      <c r="G93" s="127"/>
      <c r="H93" s="123"/>
      <c r="I93" s="123"/>
      <c r="J93" s="123"/>
      <c r="K93" s="123"/>
      <c r="L93" s="123"/>
      <c r="M93" s="123"/>
      <c r="N93" s="123"/>
      <c r="O93" s="123"/>
    </row>
    <row r="94" spans="1:15" x14ac:dyDescent="0.3">
      <c r="A94" s="124" t="s">
        <v>242</v>
      </c>
      <c r="B94" s="125"/>
      <c r="D94" s="124" t="s">
        <v>243</v>
      </c>
      <c r="E94" s="183"/>
      <c r="F94" s="127"/>
      <c r="G94" s="127"/>
      <c r="H94" s="123"/>
      <c r="I94" s="123"/>
      <c r="J94" s="123"/>
      <c r="K94" s="123"/>
      <c r="L94" s="123"/>
      <c r="M94" s="123"/>
      <c r="N94" s="123"/>
      <c r="O94" s="123"/>
    </row>
    <row r="95" spans="1:15" x14ac:dyDescent="0.3">
      <c r="A95" s="128" t="s">
        <v>244</v>
      </c>
      <c r="B95" s="184">
        <v>750000</v>
      </c>
      <c r="D95" s="121" t="s">
        <v>244</v>
      </c>
      <c r="E95" s="178">
        <v>950000</v>
      </c>
      <c r="F95" s="127"/>
      <c r="G95" s="127"/>
      <c r="H95" s="123"/>
      <c r="I95" s="123"/>
      <c r="J95" s="123"/>
      <c r="K95" s="123"/>
      <c r="L95" s="123"/>
      <c r="M95" s="123"/>
      <c r="N95" s="123"/>
      <c r="O95" s="123"/>
    </row>
    <row r="96" spans="1:15" x14ac:dyDescent="0.3">
      <c r="A96" s="128" t="s">
        <v>245</v>
      </c>
      <c r="B96" s="185">
        <f>B98*B100</f>
        <v>336000</v>
      </c>
      <c r="C96" s="126"/>
      <c r="D96" s="150"/>
      <c r="E96" s="159"/>
      <c r="F96" s="159"/>
      <c r="G96" s="127"/>
      <c r="H96" s="123"/>
      <c r="I96" s="123"/>
      <c r="J96" s="123"/>
      <c r="K96" s="123"/>
      <c r="L96" s="123"/>
      <c r="M96" s="123"/>
      <c r="N96" s="123"/>
      <c r="O96" s="123"/>
    </row>
    <row r="97" spans="1:15" x14ac:dyDescent="0.3">
      <c r="A97" s="128" t="s">
        <v>246</v>
      </c>
      <c r="B97" s="185">
        <f>B95-B96</f>
        <v>414000</v>
      </c>
      <c r="C97" s="126"/>
      <c r="D97" s="186"/>
      <c r="E97" s="159"/>
      <c r="F97" s="127"/>
      <c r="G97" s="127"/>
      <c r="H97" s="123"/>
      <c r="I97" s="123"/>
      <c r="J97" s="123"/>
      <c r="K97" s="123"/>
      <c r="L97" s="123"/>
      <c r="M97" s="123"/>
      <c r="N97" s="123"/>
      <c r="O97" s="123"/>
    </row>
    <row r="98" spans="1:15" x14ac:dyDescent="0.3">
      <c r="A98" s="128" t="s">
        <v>247</v>
      </c>
      <c r="B98" s="185">
        <f>((B29*5)+B30+(B33*5)+(B38*6)+(B39*6)+(B40+B41)+B45+B48+B49)</f>
        <v>420</v>
      </c>
      <c r="C98" s="126"/>
      <c r="D98" s="162"/>
      <c r="E98" s="159"/>
      <c r="F98" s="127"/>
      <c r="G98" s="127"/>
      <c r="H98" s="123"/>
      <c r="I98" s="123"/>
      <c r="J98" s="123"/>
      <c r="K98" s="123"/>
      <c r="L98" s="123"/>
      <c r="M98" s="123"/>
      <c r="N98" s="123"/>
      <c r="O98" s="123"/>
    </row>
    <row r="99" spans="1:15" x14ac:dyDescent="0.3">
      <c r="A99" s="128" t="s">
        <v>248</v>
      </c>
      <c r="B99" s="185">
        <f>B95/B98</f>
        <v>1785.7142857142858</v>
      </c>
      <c r="C99" s="126"/>
      <c r="D99" s="159"/>
      <c r="E99" s="159"/>
      <c r="F99" s="127"/>
      <c r="G99" s="127"/>
      <c r="H99" s="123"/>
      <c r="I99" s="123"/>
      <c r="J99" s="123"/>
      <c r="K99" s="123"/>
      <c r="L99" s="123"/>
      <c r="M99" s="123"/>
      <c r="N99" s="123"/>
      <c r="O99" s="123"/>
    </row>
    <row r="100" spans="1:15" ht="27" x14ac:dyDescent="0.3">
      <c r="A100" s="130" t="s">
        <v>249</v>
      </c>
      <c r="B100" s="187">
        <v>800</v>
      </c>
      <c r="C100" s="126" t="s">
        <v>250</v>
      </c>
      <c r="D100" s="159"/>
      <c r="E100" s="159"/>
      <c r="F100" s="127"/>
      <c r="G100" s="127"/>
      <c r="H100" s="123"/>
      <c r="I100" s="123"/>
      <c r="J100" s="123"/>
      <c r="K100" s="123"/>
      <c r="L100" s="123"/>
      <c r="M100" s="123"/>
      <c r="N100" s="123"/>
      <c r="O100" s="123"/>
    </row>
    <row r="101" spans="1:15" x14ac:dyDescent="0.3">
      <c r="A101" s="173"/>
      <c r="B101" s="173"/>
      <c r="C101" s="173"/>
      <c r="D101" s="173"/>
      <c r="E101" s="173"/>
      <c r="F101" s="173"/>
      <c r="G101" s="173"/>
    </row>
  </sheetData>
  <sheetProtection selectLockedCells="1" selectUnlockedCells="1"/>
  <mergeCells count="2">
    <mergeCell ref="E7:G11"/>
    <mergeCell ref="E57:G6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topLeftCell="A2" zoomScale="75" zoomScaleNormal="75" workbookViewId="0">
      <selection activeCell="C61" sqref="C61"/>
    </sheetView>
  </sheetViews>
  <sheetFormatPr defaultColWidth="11.5546875" defaultRowHeight="14.4" x14ac:dyDescent="0.3"/>
  <cols>
    <col min="1" max="1" width="32.44140625" style="188" customWidth="1"/>
    <col min="2" max="3" width="15" style="188" customWidth="1"/>
    <col min="4" max="4" width="15.21875" style="188" customWidth="1"/>
    <col min="5" max="6" width="15" style="188" customWidth="1"/>
    <col min="7" max="7" width="11.5546875" style="188"/>
    <col min="8" max="8" width="48.77734375" style="188" customWidth="1"/>
    <col min="9" max="11" width="11.5546875" style="188"/>
    <col min="12" max="12" width="48.77734375" style="188" customWidth="1"/>
    <col min="13" max="16384" width="11.5546875" style="188"/>
  </cols>
  <sheetData>
    <row r="1" spans="1:20" ht="12.75" customHeight="1" x14ac:dyDescent="0.3">
      <c r="A1" s="6" t="s">
        <v>251</v>
      </c>
      <c r="B1" s="45"/>
      <c r="C1" s="45"/>
      <c r="D1" s="45"/>
      <c r="E1" s="45"/>
      <c r="F1" s="54"/>
      <c r="G1" s="50"/>
      <c r="H1" s="313" t="s">
        <v>252</v>
      </c>
      <c r="I1" s="43"/>
      <c r="J1" s="314" t="s">
        <v>253</v>
      </c>
      <c r="K1" s="117"/>
      <c r="L1" s="315" t="s">
        <v>254</v>
      </c>
      <c r="M1" s="189"/>
      <c r="N1" s="314" t="s">
        <v>253</v>
      </c>
      <c r="O1" s="117"/>
      <c r="P1" s="162"/>
      <c r="Q1" s="1"/>
      <c r="R1" s="1"/>
      <c r="S1" s="1"/>
      <c r="T1" s="1"/>
    </row>
    <row r="2" spans="1:20" ht="15" customHeight="1" x14ac:dyDescent="0.3">
      <c r="A2" s="190" t="s">
        <v>255</v>
      </c>
      <c r="B2" s="190" t="s">
        <v>178</v>
      </c>
      <c r="C2" s="190" t="s">
        <v>179</v>
      </c>
      <c r="D2" s="190" t="s">
        <v>180</v>
      </c>
      <c r="E2" s="190" t="s">
        <v>256</v>
      </c>
      <c r="F2" s="191" t="s">
        <v>257</v>
      </c>
      <c r="G2" s="1"/>
      <c r="H2" s="313"/>
      <c r="I2" s="192" t="s">
        <v>258</v>
      </c>
      <c r="J2" s="314"/>
      <c r="K2" s="117"/>
      <c r="L2" s="315"/>
      <c r="M2" s="193" t="s">
        <v>258</v>
      </c>
      <c r="N2" s="314"/>
      <c r="O2" s="117"/>
      <c r="P2" s="162"/>
      <c r="Q2" s="1"/>
      <c r="R2" s="1"/>
      <c r="S2" s="1"/>
      <c r="T2" s="1"/>
    </row>
    <row r="3" spans="1:20" ht="15" customHeight="1" x14ac:dyDescent="0.3">
      <c r="A3" s="123" t="s">
        <v>158</v>
      </c>
      <c r="B3" s="194">
        <f>'Oversikt Variabler'!B14</f>
        <v>600</v>
      </c>
      <c r="C3" s="194">
        <f>'Oversikt Variabler'!B14</f>
        <v>600</v>
      </c>
      <c r="D3" s="194">
        <f>'Oversikt Variabler'!B14</f>
        <v>600</v>
      </c>
      <c r="E3" s="194">
        <f>'Oversikt Variabler'!B14</f>
        <v>600</v>
      </c>
      <c r="F3" s="194">
        <f>'Oversikt Variabler'!B14</f>
        <v>600</v>
      </c>
      <c r="G3" s="1"/>
      <c r="H3" s="195" t="s">
        <v>221</v>
      </c>
      <c r="I3" s="196"/>
      <c r="J3" s="196"/>
      <c r="K3" s="117"/>
      <c r="L3" s="195" t="s">
        <v>221</v>
      </c>
      <c r="M3" s="196"/>
      <c r="N3" s="196"/>
      <c r="O3" s="117"/>
      <c r="P3" s="162"/>
      <c r="Q3" s="1"/>
      <c r="R3" s="1"/>
      <c r="S3" s="1"/>
      <c r="T3" s="1"/>
    </row>
    <row r="4" spans="1:20" x14ac:dyDescent="0.3">
      <c r="A4" s="123" t="s">
        <v>259</v>
      </c>
      <c r="B4" s="194">
        <f>'Oversikt Variabler'!B15</f>
        <v>100</v>
      </c>
      <c r="C4" s="194">
        <f>'Oversikt Variabler'!B15</f>
        <v>100</v>
      </c>
      <c r="D4" s="194">
        <f>'Oversikt Variabler'!B15</f>
        <v>100</v>
      </c>
      <c r="E4" s="194">
        <f>'Oversikt Variabler'!B15</f>
        <v>100</v>
      </c>
      <c r="F4" s="194">
        <f>'Oversikt Variabler'!B15</f>
        <v>100</v>
      </c>
      <c r="G4" s="1"/>
      <c r="H4" s="117" t="s">
        <v>260</v>
      </c>
      <c r="I4" s="196">
        <v>20460</v>
      </c>
      <c r="J4" s="196">
        <v>5115</v>
      </c>
      <c r="K4" s="197"/>
      <c r="L4" s="117" t="s">
        <v>260</v>
      </c>
      <c r="M4" s="198">
        <f>N4*4</f>
        <v>21400</v>
      </c>
      <c r="N4" s="198">
        <f>B11</f>
        <v>5350</v>
      </c>
      <c r="O4" s="117"/>
      <c r="P4" s="162"/>
      <c r="Q4" s="1"/>
      <c r="R4" s="1"/>
      <c r="S4" s="1"/>
      <c r="T4" s="1"/>
    </row>
    <row r="5" spans="1:20" x14ac:dyDescent="0.3">
      <c r="A5" s="123" t="s">
        <v>261</v>
      </c>
      <c r="B5" s="194">
        <f>'Oversikt Variabler'!B16</f>
        <v>500</v>
      </c>
      <c r="C5" s="194">
        <f>'Oversikt Variabler'!B16</f>
        <v>500</v>
      </c>
      <c r="D5" s="194">
        <f>'Oversikt Variabler'!B16</f>
        <v>500</v>
      </c>
      <c r="E5" s="194">
        <f>'Oversikt Variabler'!B16</f>
        <v>500</v>
      </c>
      <c r="F5" s="194" t="s">
        <v>262</v>
      </c>
      <c r="G5" s="1"/>
      <c r="H5" s="117" t="s">
        <v>263</v>
      </c>
      <c r="I5" s="196">
        <v>18060</v>
      </c>
      <c r="J5" s="196">
        <v>4515</v>
      </c>
      <c r="K5" s="197"/>
      <c r="L5" s="117" t="s">
        <v>263</v>
      </c>
      <c r="M5" s="198">
        <f>N5*4</f>
        <v>19000</v>
      </c>
      <c r="N5" s="198">
        <f>C11</f>
        <v>4750</v>
      </c>
      <c r="O5" s="117"/>
      <c r="P5" s="162"/>
      <c r="Q5" s="1"/>
      <c r="R5" s="1"/>
      <c r="S5" s="1"/>
      <c r="T5" s="1"/>
    </row>
    <row r="6" spans="1:20" x14ac:dyDescent="0.3">
      <c r="A6" s="123" t="s">
        <v>264</v>
      </c>
      <c r="B6" s="194">
        <f>'Oversikt Variabler'!B17</f>
        <v>550</v>
      </c>
      <c r="C6" s="194">
        <f>'Oversikt Variabler'!B17</f>
        <v>550</v>
      </c>
      <c r="D6" s="194">
        <f>'Oversikt Variabler'!B17</f>
        <v>550</v>
      </c>
      <c r="E6" s="194">
        <f>'Oversikt Variabler'!B17</f>
        <v>550</v>
      </c>
      <c r="F6" s="194" t="s">
        <v>262</v>
      </c>
      <c r="G6" s="1"/>
      <c r="H6" s="117" t="s">
        <v>265</v>
      </c>
      <c r="I6" s="196">
        <v>12860</v>
      </c>
      <c r="J6" s="196">
        <v>3215</v>
      </c>
      <c r="K6" s="197"/>
      <c r="L6" s="117" t="s">
        <v>265</v>
      </c>
      <c r="M6" s="198">
        <f>N6*4</f>
        <v>13800</v>
      </c>
      <c r="N6" s="198">
        <f>D11</f>
        <v>3450</v>
      </c>
      <c r="O6" s="117"/>
      <c r="P6" s="162"/>
      <c r="Q6" s="1"/>
      <c r="R6" s="1"/>
      <c r="S6" s="1"/>
      <c r="T6" s="1"/>
    </row>
    <row r="7" spans="1:20" x14ac:dyDescent="0.3">
      <c r="A7" s="123" t="s">
        <v>266</v>
      </c>
      <c r="B7" s="194" t="s">
        <v>262</v>
      </c>
      <c r="C7" s="194" t="s">
        <v>262</v>
      </c>
      <c r="D7" s="194" t="s">
        <v>262</v>
      </c>
      <c r="E7" s="194" t="s">
        <v>262</v>
      </c>
      <c r="F7" s="194">
        <f>'Oversikt Variabler'!B18</f>
        <v>700</v>
      </c>
      <c r="G7" s="1"/>
      <c r="H7" s="117" t="s">
        <v>267</v>
      </c>
      <c r="I7" s="196">
        <v>7660</v>
      </c>
      <c r="J7" s="196">
        <v>1915</v>
      </c>
      <c r="K7" s="197"/>
      <c r="L7" s="117" t="s">
        <v>267</v>
      </c>
      <c r="M7" s="198">
        <f>N7*4</f>
        <v>8600</v>
      </c>
      <c r="N7" s="198">
        <f>E11</f>
        <v>2150</v>
      </c>
      <c r="O7" s="117"/>
      <c r="P7" s="162"/>
      <c r="Q7" s="1"/>
      <c r="R7" s="1"/>
      <c r="S7" s="1"/>
      <c r="T7" s="1"/>
    </row>
    <row r="8" spans="1:20" x14ac:dyDescent="0.3">
      <c r="A8" s="123" t="s">
        <v>16</v>
      </c>
      <c r="B8" s="194">
        <f>'Oversikt Variabler'!B7*28*'Oversikt Variabler'!B3</f>
        <v>3334.8</v>
      </c>
      <c r="C8" s="194">
        <f>'Oversikt Variabler'!B7*28*'Oversikt Variabler'!B3</f>
        <v>3334.8</v>
      </c>
      <c r="D8" s="194">
        <f>'Oversikt Variabler'!B7*28*'Oversikt Variabler'!B3</f>
        <v>3334.8</v>
      </c>
      <c r="E8" s="194">
        <f>'Oversikt Variabler'!B7*28*'Oversikt Variabler'!B3</f>
        <v>3334.8</v>
      </c>
      <c r="F8" s="194">
        <f>'Oversikt Variabler'!B7*28*'Oversikt Variabler'!B3</f>
        <v>3334.8</v>
      </c>
      <c r="G8" s="1"/>
      <c r="H8" s="121" t="s">
        <v>268</v>
      </c>
      <c r="I8" s="199"/>
      <c r="J8" s="200">
        <v>3865</v>
      </c>
      <c r="K8" s="117"/>
      <c r="L8" s="121" t="s">
        <v>268</v>
      </c>
      <c r="M8" s="201"/>
      <c r="N8" s="201">
        <f>F11</f>
        <v>4285</v>
      </c>
      <c r="O8" s="117"/>
      <c r="P8" s="162"/>
      <c r="Q8" s="1"/>
      <c r="R8" s="1"/>
      <c r="S8" s="1"/>
      <c r="T8" s="1"/>
    </row>
    <row r="9" spans="1:20" x14ac:dyDescent="0.3">
      <c r="A9" s="202" t="s">
        <v>269</v>
      </c>
      <c r="B9" s="203">
        <f>SUM(B3:B8)</f>
        <v>5084.8</v>
      </c>
      <c r="C9" s="203">
        <f>SUM(C3:C8)</f>
        <v>5084.8</v>
      </c>
      <c r="D9" s="203">
        <f>SUM(D3:D8)</f>
        <v>5084.8</v>
      </c>
      <c r="E9" s="203">
        <f>SUM(E3:E8)</f>
        <v>5084.8</v>
      </c>
      <c r="F9" s="203">
        <f>SUM(F3:F8)</f>
        <v>4734.8</v>
      </c>
      <c r="G9" s="204"/>
      <c r="H9" s="25"/>
      <c r="I9" s="205"/>
      <c r="J9" s="205"/>
      <c r="K9" s="162"/>
      <c r="L9" s="45"/>
      <c r="M9" s="200"/>
      <c r="N9" s="200"/>
      <c r="O9" s="162"/>
      <c r="P9" s="162"/>
      <c r="Q9" s="1"/>
      <c r="R9" s="1"/>
      <c r="S9" s="1"/>
      <c r="T9" s="1"/>
    </row>
    <row r="10" spans="1:20" x14ac:dyDescent="0.3">
      <c r="A10" s="206" t="s">
        <v>270</v>
      </c>
      <c r="B10" s="207">
        <f>B11-B9</f>
        <v>265.19999999999982</v>
      </c>
      <c r="C10" s="207">
        <f>C11-C9</f>
        <v>-334.80000000000018</v>
      </c>
      <c r="D10" s="207">
        <f>D11-D9</f>
        <v>-1634.8000000000002</v>
      </c>
      <c r="E10" s="207">
        <f>E11-E9</f>
        <v>-2934.8</v>
      </c>
      <c r="F10" s="207">
        <f>F11-F9</f>
        <v>-449.80000000000018</v>
      </c>
      <c r="G10" s="1"/>
      <c r="H10" s="195" t="s">
        <v>271</v>
      </c>
      <c r="I10" s="196"/>
      <c r="J10" s="196"/>
      <c r="K10" s="117"/>
      <c r="L10" s="195" t="s">
        <v>210</v>
      </c>
      <c r="M10" s="196"/>
      <c r="N10" s="196"/>
      <c r="O10" s="117"/>
      <c r="P10" s="162"/>
      <c r="Q10" s="1"/>
      <c r="R10" s="1"/>
      <c r="S10" s="1"/>
      <c r="T10" s="1"/>
    </row>
    <row r="11" spans="1:20" x14ac:dyDescent="0.3">
      <c r="A11" s="208" t="s">
        <v>272</v>
      </c>
      <c r="B11" s="209">
        <v>5350</v>
      </c>
      <c r="C11" s="209">
        <v>4750</v>
      </c>
      <c r="D11" s="209">
        <v>3450</v>
      </c>
      <c r="E11" s="209">
        <v>2150</v>
      </c>
      <c r="F11" s="209">
        <v>4285</v>
      </c>
      <c r="H11" s="117" t="s">
        <v>260</v>
      </c>
      <c r="I11" s="196">
        <v>22620</v>
      </c>
      <c r="J11" s="196">
        <v>5655</v>
      </c>
      <c r="K11" s="197"/>
      <c r="L11" s="117" t="s">
        <v>260</v>
      </c>
      <c r="M11" s="198">
        <f>N11*4</f>
        <v>23000</v>
      </c>
      <c r="N11" s="198">
        <f>B23</f>
        <v>5750</v>
      </c>
      <c r="O11" s="117"/>
      <c r="P11" s="162"/>
      <c r="Q11" s="1"/>
      <c r="R11" s="1"/>
      <c r="S11" s="1"/>
      <c r="T11" s="1"/>
    </row>
    <row r="12" spans="1:20" x14ac:dyDescent="0.3">
      <c r="A12" s="1"/>
      <c r="B12" s="1"/>
      <c r="C12" s="1"/>
      <c r="D12" s="1"/>
      <c r="E12" s="1"/>
      <c r="F12" s="50"/>
      <c r="G12" s="1"/>
      <c r="H12" s="117" t="s">
        <v>263</v>
      </c>
      <c r="I12" s="196">
        <v>18620</v>
      </c>
      <c r="J12" s="196">
        <v>4655</v>
      </c>
      <c r="K12" s="197"/>
      <c r="L12" s="117" t="s">
        <v>263</v>
      </c>
      <c r="M12" s="198">
        <f>N12*4</f>
        <v>19000</v>
      </c>
      <c r="N12" s="198">
        <f>C23</f>
        <v>4750</v>
      </c>
      <c r="O12" s="117"/>
      <c r="P12" s="162"/>
      <c r="Q12" s="1"/>
      <c r="R12" s="1"/>
      <c r="S12" s="1"/>
      <c r="T12" s="1"/>
    </row>
    <row r="13" spans="1:20" x14ac:dyDescent="0.3">
      <c r="A13" s="6" t="s">
        <v>273</v>
      </c>
      <c r="B13" s="45"/>
      <c r="C13" s="45"/>
      <c r="D13" s="45"/>
      <c r="E13" s="45"/>
      <c r="F13" s="54"/>
      <c r="G13" s="50"/>
      <c r="H13" s="117" t="s">
        <v>265</v>
      </c>
      <c r="I13" s="196">
        <v>14620</v>
      </c>
      <c r="J13" s="196">
        <v>3655</v>
      </c>
      <c r="K13" s="197"/>
      <c r="L13" s="117" t="s">
        <v>265</v>
      </c>
      <c r="M13" s="198">
        <f>N13*4</f>
        <v>15000</v>
      </c>
      <c r="N13" s="198">
        <f>D23</f>
        <v>3750</v>
      </c>
      <c r="O13" s="117"/>
      <c r="P13" s="162"/>
      <c r="Q13" s="1"/>
      <c r="R13" s="1"/>
      <c r="S13" s="1"/>
      <c r="T13" s="1"/>
    </row>
    <row r="14" spans="1:20" x14ac:dyDescent="0.3">
      <c r="A14" s="190" t="s">
        <v>255</v>
      </c>
      <c r="B14" s="210" t="s">
        <v>178</v>
      </c>
      <c r="C14" s="210" t="s">
        <v>179</v>
      </c>
      <c r="D14" s="210" t="s">
        <v>180</v>
      </c>
      <c r="E14" s="210" t="s">
        <v>256</v>
      </c>
      <c r="F14" s="50"/>
      <c r="G14" s="1"/>
      <c r="H14" s="121" t="s">
        <v>267</v>
      </c>
      <c r="I14" s="200">
        <v>10620</v>
      </c>
      <c r="J14" s="211">
        <v>2655</v>
      </c>
      <c r="K14" s="117"/>
      <c r="L14" s="121" t="s">
        <v>267</v>
      </c>
      <c r="M14" s="201">
        <f>N14*4</f>
        <v>11000</v>
      </c>
      <c r="N14" s="212">
        <f>E23</f>
        <v>2750</v>
      </c>
      <c r="O14" s="117"/>
      <c r="P14" s="162"/>
      <c r="Q14" s="1"/>
      <c r="R14" s="1"/>
      <c r="S14" s="1"/>
      <c r="T14" s="1"/>
    </row>
    <row r="15" spans="1:20" x14ac:dyDescent="0.3">
      <c r="A15" s="123" t="s">
        <v>158</v>
      </c>
      <c r="B15" s="194">
        <f>'Oversikt Variabler'!B14</f>
        <v>600</v>
      </c>
      <c r="C15" s="194">
        <f>'Oversikt Variabler'!B14</f>
        <v>600</v>
      </c>
      <c r="D15" s="194">
        <f>'Oversikt Variabler'!B14</f>
        <v>600</v>
      </c>
      <c r="E15" s="194">
        <f>'Oversikt Variabler'!B14</f>
        <v>600</v>
      </c>
      <c r="F15" s="50"/>
      <c r="G15" s="162"/>
      <c r="H15" s="25"/>
      <c r="I15" s="205"/>
      <c r="J15" s="205"/>
      <c r="K15" s="162"/>
      <c r="L15" s="45"/>
      <c r="M15" s="200"/>
      <c r="N15" s="200"/>
      <c r="O15" s="162"/>
      <c r="P15" s="162"/>
      <c r="Q15" s="1"/>
      <c r="R15" s="1"/>
      <c r="S15" s="1"/>
      <c r="T15" s="1"/>
    </row>
    <row r="16" spans="1:20" x14ac:dyDescent="0.3">
      <c r="A16" s="123" t="s">
        <v>259</v>
      </c>
      <c r="B16" s="194">
        <f>'Oversikt Variabler'!B15</f>
        <v>100</v>
      </c>
      <c r="C16" s="194">
        <f>'Oversikt Variabler'!B15</f>
        <v>100</v>
      </c>
      <c r="D16" s="194">
        <f>'Oversikt Variabler'!B15</f>
        <v>100</v>
      </c>
      <c r="E16" s="194">
        <f>'Oversikt Variabler'!B15</f>
        <v>100</v>
      </c>
      <c r="F16" s="50"/>
      <c r="G16" s="1"/>
      <c r="H16" s="195" t="s">
        <v>274</v>
      </c>
      <c r="I16" s="196"/>
      <c r="J16" s="196"/>
      <c r="K16" s="117"/>
      <c r="L16" s="195" t="s">
        <v>274</v>
      </c>
      <c r="M16" s="196"/>
      <c r="N16" s="196"/>
      <c r="O16" s="117"/>
      <c r="P16" s="162"/>
      <c r="Q16" s="1"/>
      <c r="R16" s="1"/>
      <c r="S16" s="1"/>
      <c r="T16" s="1"/>
    </row>
    <row r="17" spans="1:20" x14ac:dyDescent="0.3">
      <c r="A17" s="123" t="s">
        <v>261</v>
      </c>
      <c r="B17" s="194">
        <f>'Oversikt Variabler'!B16</f>
        <v>500</v>
      </c>
      <c r="C17" s="194">
        <f>'Oversikt Variabler'!B16</f>
        <v>500</v>
      </c>
      <c r="D17" s="194">
        <f>'Oversikt Variabler'!B16</f>
        <v>500</v>
      </c>
      <c r="E17" s="194">
        <f>'Oversikt Variabler'!B16</f>
        <v>500</v>
      </c>
      <c r="F17" s="50"/>
      <c r="G17" s="1"/>
      <c r="H17" s="121" t="s">
        <v>275</v>
      </c>
      <c r="I17" s="200">
        <v>21420</v>
      </c>
      <c r="J17" s="211">
        <v>2010</v>
      </c>
      <c r="K17" s="117"/>
      <c r="L17" s="121" t="s">
        <v>275</v>
      </c>
      <c r="M17" s="201">
        <f>N17*10</f>
        <v>23000</v>
      </c>
      <c r="N17" s="212">
        <f>B34</f>
        <v>2300</v>
      </c>
      <c r="O17" s="117"/>
      <c r="P17" s="162"/>
      <c r="Q17" s="1"/>
      <c r="R17" s="1"/>
      <c r="S17" s="1"/>
      <c r="T17" s="1"/>
    </row>
    <row r="18" spans="1:20" x14ac:dyDescent="0.3">
      <c r="A18" s="123" t="s">
        <v>264</v>
      </c>
      <c r="B18" s="194">
        <f>'Oversikt Variabler'!B19</f>
        <v>550</v>
      </c>
      <c r="C18" s="194">
        <f>'Oversikt Variabler'!B19</f>
        <v>550</v>
      </c>
      <c r="D18" s="194">
        <f>'Oversikt Variabler'!B19</f>
        <v>550</v>
      </c>
      <c r="E18" s="194">
        <f>'Oversikt Variabler'!B19</f>
        <v>550</v>
      </c>
      <c r="F18" s="50"/>
      <c r="G18" s="162"/>
      <c r="H18" s="25"/>
      <c r="I18" s="205"/>
      <c r="J18" s="205"/>
      <c r="K18" s="162"/>
      <c r="L18" s="45"/>
      <c r="M18" s="200"/>
      <c r="N18" s="200"/>
      <c r="O18" s="162"/>
      <c r="P18" s="162"/>
      <c r="Q18" s="1"/>
      <c r="R18" s="1"/>
      <c r="S18" s="1"/>
      <c r="T18" s="1"/>
    </row>
    <row r="19" spans="1:20" x14ac:dyDescent="0.3">
      <c r="A19" s="123" t="s">
        <v>276</v>
      </c>
      <c r="B19" s="194">
        <f>'Oversikt Variabler'!B20</f>
        <v>750</v>
      </c>
      <c r="C19" s="194">
        <f>'Oversikt Variabler'!B20</f>
        <v>750</v>
      </c>
      <c r="D19" s="194">
        <f>'Oversikt Variabler'!B20</f>
        <v>750</v>
      </c>
      <c r="E19" s="194">
        <f>'Oversikt Variabler'!B20</f>
        <v>750</v>
      </c>
      <c r="F19" s="50"/>
      <c r="G19" s="1"/>
      <c r="H19" s="195" t="s">
        <v>212</v>
      </c>
      <c r="I19" s="196"/>
      <c r="J19" s="196"/>
      <c r="K19" s="117"/>
      <c r="L19" s="195" t="s">
        <v>212</v>
      </c>
      <c r="M19" s="196"/>
      <c r="N19" s="196"/>
      <c r="O19" s="117"/>
      <c r="P19" s="162"/>
      <c r="Q19" s="1"/>
      <c r="R19" s="1"/>
      <c r="S19" s="1"/>
      <c r="T19" s="1"/>
    </row>
    <row r="20" spans="1:20" x14ac:dyDescent="0.3">
      <c r="A20" s="123" t="s">
        <v>16</v>
      </c>
      <c r="B20" s="194">
        <f>'Oversikt Variabler'!B7*23*'Oversikt Variabler'!B3</f>
        <v>2739.3</v>
      </c>
      <c r="C20" s="194">
        <f>'Oversikt Variabler'!B7*23*'Oversikt Variabler'!B3</f>
        <v>2739.3</v>
      </c>
      <c r="D20" s="194">
        <f>'Oversikt Variabler'!B7*23*'Oversikt Variabler'!B3</f>
        <v>2739.3</v>
      </c>
      <c r="E20" s="194">
        <f>'Oversikt Variabler'!B7*23*'Oversikt Variabler'!B3</f>
        <v>2739.3</v>
      </c>
      <c r="F20" s="50"/>
      <c r="G20" s="1"/>
      <c r="H20" s="117" t="s">
        <v>277</v>
      </c>
      <c r="I20" s="196">
        <v>8010</v>
      </c>
      <c r="J20" s="196">
        <v>1475</v>
      </c>
      <c r="K20" s="197"/>
      <c r="L20" s="117" t="s">
        <v>277</v>
      </c>
      <c r="M20" s="198">
        <f>N20*5</f>
        <v>8750</v>
      </c>
      <c r="N20" s="198">
        <f>B45</f>
        <v>1750</v>
      </c>
      <c r="O20" s="117"/>
      <c r="P20" s="162"/>
      <c r="Q20" s="1"/>
      <c r="R20" s="1"/>
      <c r="S20" s="1"/>
      <c r="T20" s="1"/>
    </row>
    <row r="21" spans="1:20" x14ac:dyDescent="0.3">
      <c r="A21" s="202" t="s">
        <v>269</v>
      </c>
      <c r="B21" s="203">
        <f>SUM(B15:B20)</f>
        <v>5239.3</v>
      </c>
      <c r="C21" s="203">
        <f>SUM(C15:C20)</f>
        <v>5239.3</v>
      </c>
      <c r="D21" s="203">
        <f>SUM(D15:D20)</f>
        <v>5239.3</v>
      </c>
      <c r="E21" s="203">
        <f>SUM(E15:E20)</f>
        <v>5239.3</v>
      </c>
      <c r="F21" s="213"/>
      <c r="H21" s="117" t="s">
        <v>278</v>
      </c>
      <c r="I21" s="196">
        <v>14310</v>
      </c>
      <c r="J21" s="196">
        <v>2285</v>
      </c>
      <c r="K21" s="197"/>
      <c r="L21" s="117" t="s">
        <v>278</v>
      </c>
      <c r="M21" s="198">
        <f>N21*5</f>
        <v>12750</v>
      </c>
      <c r="N21" s="198">
        <f>C45</f>
        <v>2550</v>
      </c>
      <c r="O21" s="117"/>
      <c r="P21" s="162"/>
      <c r="Q21" s="1"/>
      <c r="R21" s="1"/>
      <c r="S21" s="1"/>
      <c r="T21" s="1"/>
    </row>
    <row r="22" spans="1:20" x14ac:dyDescent="0.3">
      <c r="A22" s="206" t="s">
        <v>270</v>
      </c>
      <c r="B22" s="207">
        <f>B23-B21</f>
        <v>510.69999999999982</v>
      </c>
      <c r="C22" s="207">
        <f>C23-C21</f>
        <v>-489.30000000000018</v>
      </c>
      <c r="D22" s="207">
        <f>D23-D21</f>
        <v>-1489.3000000000002</v>
      </c>
      <c r="E22" s="207">
        <f>E23-E21</f>
        <v>-2489.3000000000002</v>
      </c>
      <c r="F22" s="50"/>
      <c r="G22" s="1"/>
      <c r="H22" s="117" t="s">
        <v>279</v>
      </c>
      <c r="I22" s="199"/>
      <c r="J22" s="196">
        <v>1775</v>
      </c>
      <c r="K22" s="197"/>
      <c r="L22" s="117" t="s">
        <v>279</v>
      </c>
      <c r="M22" s="199"/>
      <c r="N22" s="198">
        <f>D45</f>
        <v>1950</v>
      </c>
      <c r="O22" s="117"/>
      <c r="P22" s="162"/>
      <c r="Q22" s="1"/>
      <c r="R22" s="1"/>
      <c r="S22" s="1"/>
      <c r="T22" s="1"/>
    </row>
    <row r="23" spans="1:20" x14ac:dyDescent="0.3">
      <c r="A23" s="208" t="s">
        <v>272</v>
      </c>
      <c r="B23" s="209">
        <v>5750</v>
      </c>
      <c r="C23" s="209">
        <v>4750</v>
      </c>
      <c r="D23" s="209">
        <v>3750</v>
      </c>
      <c r="E23" s="209">
        <v>2750</v>
      </c>
      <c r="F23" s="213"/>
      <c r="H23" s="121" t="s">
        <v>280</v>
      </c>
      <c r="I23" s="200"/>
      <c r="J23" s="200">
        <v>2585</v>
      </c>
      <c r="K23" s="117"/>
      <c r="L23" s="121" t="s">
        <v>280</v>
      </c>
      <c r="M23" s="201"/>
      <c r="N23" s="201">
        <f>E45</f>
        <v>2750</v>
      </c>
      <c r="O23" s="117"/>
      <c r="P23" s="162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50"/>
      <c r="G24" s="162"/>
      <c r="H24" s="25"/>
      <c r="I24" s="200"/>
      <c r="J24" s="205"/>
      <c r="K24" s="162"/>
      <c r="L24" s="45"/>
      <c r="M24" s="200"/>
      <c r="N24" s="200"/>
      <c r="O24" s="162"/>
      <c r="P24" s="162"/>
      <c r="Q24" s="1"/>
      <c r="R24" s="1"/>
      <c r="S24" s="1"/>
      <c r="T24" s="1"/>
    </row>
    <row r="25" spans="1:20" x14ac:dyDescent="0.3">
      <c r="A25" s="6" t="s">
        <v>281</v>
      </c>
      <c r="B25" s="45"/>
      <c r="C25" s="45"/>
      <c r="D25" s="45"/>
      <c r="E25" s="45"/>
      <c r="F25" s="54"/>
      <c r="G25" s="50"/>
      <c r="H25" s="195" t="s">
        <v>213</v>
      </c>
      <c r="I25" s="199"/>
      <c r="J25" s="196"/>
      <c r="K25" s="117"/>
      <c r="L25" s="195" t="s">
        <v>213</v>
      </c>
      <c r="M25" s="214"/>
      <c r="N25" s="215"/>
      <c r="O25" s="117"/>
      <c r="P25" s="162"/>
      <c r="Q25" s="1"/>
      <c r="R25" s="1"/>
      <c r="S25" s="1"/>
      <c r="T25" s="1"/>
    </row>
    <row r="26" spans="1:20" x14ac:dyDescent="0.3">
      <c r="A26" s="190" t="s">
        <v>255</v>
      </c>
      <c r="B26" s="210" t="s">
        <v>282</v>
      </c>
      <c r="C26" s="1"/>
      <c r="D26" s="1"/>
      <c r="E26" s="1"/>
      <c r="F26" s="50"/>
      <c r="G26" s="1"/>
      <c r="H26" s="121" t="s">
        <v>283</v>
      </c>
      <c r="I26" s="200"/>
      <c r="J26" s="200">
        <v>4200</v>
      </c>
      <c r="K26" s="117"/>
      <c r="L26" s="121" t="s">
        <v>283</v>
      </c>
      <c r="M26" s="201"/>
      <c r="N26" s="201">
        <f>B55</f>
        <v>4475</v>
      </c>
      <c r="O26" s="117"/>
      <c r="P26" s="162"/>
      <c r="Q26" s="1"/>
      <c r="R26" s="1"/>
      <c r="S26" s="1"/>
      <c r="T26" s="1"/>
    </row>
    <row r="27" spans="1:20" x14ac:dyDescent="0.3">
      <c r="A27" s="123" t="s">
        <v>158</v>
      </c>
      <c r="B27" s="194">
        <f>'Oversikt Variabler'!B14</f>
        <v>600</v>
      </c>
      <c r="C27" s="1"/>
      <c r="D27" s="1"/>
      <c r="E27" s="1"/>
      <c r="F27" s="50"/>
      <c r="G27" s="162"/>
      <c r="H27" s="25"/>
      <c r="I27" s="200"/>
      <c r="J27" s="205"/>
      <c r="K27" s="162"/>
      <c r="L27" s="45"/>
      <c r="M27" s="201"/>
      <c r="N27" s="200"/>
      <c r="O27" s="162"/>
      <c r="P27" s="162"/>
      <c r="Q27" s="1"/>
      <c r="R27" s="1"/>
      <c r="S27" s="1"/>
      <c r="T27" s="1"/>
    </row>
    <row r="28" spans="1:20" x14ac:dyDescent="0.3">
      <c r="A28" s="123" t="s">
        <v>259</v>
      </c>
      <c r="B28" s="216">
        <f>'Oversikt Variabler'!B15</f>
        <v>100</v>
      </c>
      <c r="C28" s="1"/>
      <c r="D28" s="1"/>
      <c r="E28" s="1"/>
      <c r="F28" s="50"/>
      <c r="G28" s="1"/>
      <c r="H28" s="195" t="s">
        <v>211</v>
      </c>
      <c r="I28" s="199"/>
      <c r="J28" s="196"/>
      <c r="K28" s="117"/>
      <c r="L28" s="195" t="s">
        <v>211</v>
      </c>
      <c r="M28" s="199"/>
      <c r="N28" s="196"/>
      <c r="O28" s="117"/>
      <c r="P28" s="162"/>
      <c r="Q28" s="1"/>
      <c r="R28" s="1"/>
      <c r="S28" s="1"/>
      <c r="T28" s="1"/>
    </row>
    <row r="29" spans="1:20" x14ac:dyDescent="0.3">
      <c r="A29" s="123" t="s">
        <v>261</v>
      </c>
      <c r="B29" s="194">
        <f>'Oversikt Variabler'!B16</f>
        <v>500</v>
      </c>
      <c r="C29" s="1"/>
      <c r="D29" s="1"/>
      <c r="E29" s="1"/>
      <c r="F29" s="50"/>
      <c r="G29" s="1"/>
      <c r="H29" s="121" t="s">
        <v>283</v>
      </c>
      <c r="I29" s="200"/>
      <c r="J29" s="200">
        <v>2175</v>
      </c>
      <c r="K29" s="197"/>
      <c r="L29" s="117" t="s">
        <v>284</v>
      </c>
      <c r="M29" s="199"/>
      <c r="N29" s="217">
        <f>B65</f>
        <v>2250</v>
      </c>
      <c r="O29" s="117"/>
      <c r="P29" s="162"/>
      <c r="Q29" s="1"/>
      <c r="R29" s="1"/>
      <c r="S29" s="1"/>
      <c r="T29" s="1"/>
    </row>
    <row r="30" spans="1:20" x14ac:dyDescent="0.3">
      <c r="A30" s="123" t="s">
        <v>264</v>
      </c>
      <c r="B30" s="194">
        <f>'Oversikt Variabler'!B21</f>
        <v>350</v>
      </c>
      <c r="C30" s="1"/>
      <c r="D30" s="1"/>
      <c r="E30" s="1"/>
      <c r="F30" s="50"/>
      <c r="G30" s="162"/>
      <c r="H30" s="162"/>
      <c r="I30" s="1"/>
      <c r="J30" s="162"/>
      <c r="K30" s="162"/>
      <c r="L30" s="121" t="s">
        <v>285</v>
      </c>
      <c r="M30" s="201"/>
      <c r="N30" s="212">
        <f>C65</f>
        <v>2650</v>
      </c>
      <c r="O30" s="117"/>
      <c r="P30" s="162"/>
      <c r="Q30" s="1"/>
      <c r="R30" s="1"/>
      <c r="S30" s="1"/>
      <c r="T30" s="1"/>
    </row>
    <row r="31" spans="1:20" x14ac:dyDescent="0.3">
      <c r="A31" s="123" t="s">
        <v>16</v>
      </c>
      <c r="B31" s="194">
        <f>'Oversikt Variabler'!B9*'Oversikt Variabler'!B3</f>
        <v>984.7</v>
      </c>
      <c r="C31" s="1"/>
      <c r="D31" s="1"/>
      <c r="E31" s="1"/>
      <c r="F31" s="50"/>
      <c r="G31" s="162"/>
      <c r="H31" s="162"/>
      <c r="I31" s="1"/>
      <c r="J31" s="162"/>
      <c r="K31" s="162"/>
      <c r="L31" s="162"/>
      <c r="M31" s="1"/>
      <c r="N31" s="1"/>
      <c r="O31" s="162"/>
      <c r="P31" s="162"/>
      <c r="Q31" s="1"/>
      <c r="R31" s="1"/>
      <c r="S31" s="1"/>
      <c r="T31" s="1"/>
    </row>
    <row r="32" spans="1:20" x14ac:dyDescent="0.3">
      <c r="A32" s="202" t="s">
        <v>269</v>
      </c>
      <c r="B32" s="203">
        <f>SUM(B27:B31)</f>
        <v>2534.6999999999998</v>
      </c>
      <c r="C32" s="1"/>
      <c r="D32" s="1"/>
      <c r="E32" s="1"/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206" t="s">
        <v>286</v>
      </c>
      <c r="B33" s="207">
        <f>B34-B32</f>
        <v>-234.69999999999982</v>
      </c>
      <c r="C33" s="1" t="s">
        <v>175</v>
      </c>
      <c r="D33" s="1"/>
      <c r="E33" s="1"/>
      <c r="F33" s="5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208" t="s">
        <v>272</v>
      </c>
      <c r="B34" s="209">
        <v>2300</v>
      </c>
      <c r="C34" s="1"/>
      <c r="D34" s="1"/>
      <c r="E34" s="1"/>
      <c r="F34" s="50"/>
      <c r="G34" s="1"/>
      <c r="H34" s="1"/>
      <c r="I34" s="1"/>
      <c r="J34" s="1"/>
      <c r="K34" s="1"/>
      <c r="L34" s="162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50"/>
      <c r="G35" s="1"/>
      <c r="H35" s="1"/>
      <c r="I35" s="1"/>
      <c r="J35" s="1"/>
      <c r="K35" s="1"/>
      <c r="L35" s="162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6" t="s">
        <v>287</v>
      </c>
      <c r="B36" s="45"/>
      <c r="C36" s="45"/>
      <c r="D36" s="45"/>
      <c r="E36" s="45"/>
      <c r="F36" s="54"/>
      <c r="G36" s="162"/>
      <c r="H36" s="1"/>
      <c r="I36" s="1"/>
      <c r="J36" s="1"/>
      <c r="K36" s="1"/>
      <c r="L36" s="162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90" t="s">
        <v>255</v>
      </c>
      <c r="B37" s="190" t="s">
        <v>288</v>
      </c>
      <c r="C37" s="190" t="s">
        <v>289</v>
      </c>
      <c r="D37" s="190" t="s">
        <v>290</v>
      </c>
      <c r="E37" s="190" t="s">
        <v>291</v>
      </c>
      <c r="F37" s="50"/>
      <c r="G37" s="1"/>
      <c r="H37" s="1"/>
      <c r="I37" s="1"/>
      <c r="J37" s="1"/>
      <c r="K37" s="1"/>
      <c r="L37" s="162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23" t="s">
        <v>158</v>
      </c>
      <c r="B38" s="218">
        <f>'Oversikt Variabler'!B14</f>
        <v>600</v>
      </c>
      <c r="C38" s="218">
        <f>'Oversikt Variabler'!B14</f>
        <v>600</v>
      </c>
      <c r="D38" s="218">
        <f>'Oversikt Variabler'!B14</f>
        <v>600</v>
      </c>
      <c r="E38" s="219">
        <f>'Oversikt Variabler'!B14</f>
        <v>600</v>
      </c>
      <c r="F38" s="197"/>
      <c r="G38" s="1"/>
      <c r="H38" s="1"/>
      <c r="I38" s="1"/>
      <c r="J38" s="1"/>
      <c r="K38" s="1"/>
      <c r="L38" s="162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23" t="s">
        <v>292</v>
      </c>
      <c r="B39" s="194">
        <f>'Oversikt Variabler'!B15</f>
        <v>100</v>
      </c>
      <c r="C39" s="194">
        <f>'Oversikt Variabler'!B15</f>
        <v>100</v>
      </c>
      <c r="D39" s="194">
        <f>'Oversikt Variabler'!B15</f>
        <v>100</v>
      </c>
      <c r="E39" s="220">
        <f>'Oversikt Variabler'!B15</f>
        <v>100</v>
      </c>
      <c r="F39" s="197"/>
      <c r="G39" s="1"/>
      <c r="H39" s="1"/>
      <c r="I39" s="1"/>
      <c r="J39" s="1"/>
      <c r="K39" s="1"/>
      <c r="L39" s="162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23" t="s">
        <v>293</v>
      </c>
      <c r="B40" s="194">
        <f>'Oversikt Variabler'!B22</f>
        <v>550</v>
      </c>
      <c r="C40" s="194">
        <f>'Oversikt Variabler'!B22</f>
        <v>550</v>
      </c>
      <c r="D40" s="194">
        <f>'Oversikt Variabler'!B22/2</f>
        <v>275</v>
      </c>
      <c r="E40" s="194">
        <f>'Oversikt Variabler'!B22/2</f>
        <v>275</v>
      </c>
      <c r="F40" s="197"/>
      <c r="G40" s="1"/>
      <c r="H40" s="1"/>
      <c r="I40" s="1"/>
      <c r="J40" s="1"/>
      <c r="K40" s="1"/>
      <c r="L40" s="162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23" t="s">
        <v>276</v>
      </c>
      <c r="B41" s="194"/>
      <c r="C41" s="194"/>
      <c r="D41" s="194">
        <f>'Oversikt Variabler'!B23</f>
        <v>0</v>
      </c>
      <c r="E41" s="220">
        <f>'Oversikt Variabler'!B23</f>
        <v>0</v>
      </c>
      <c r="F41" s="197"/>
      <c r="G41" s="1"/>
      <c r="H41" s="1"/>
      <c r="I41" s="1"/>
      <c r="J41" s="1"/>
      <c r="K41" s="1"/>
      <c r="L41" s="162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23" t="s">
        <v>16</v>
      </c>
      <c r="B42" s="194">
        <f>'Oversikt Variabler'!B7*'Oversikt Variabler'!B3*8</f>
        <v>952.8</v>
      </c>
      <c r="C42" s="194">
        <f>'Oversikt Variabler'!B7*15*'Oversikt Variabler'!B3</f>
        <v>1786.5</v>
      </c>
      <c r="D42" s="194">
        <f>'Oversikt Variabler'!B7*8*'Oversikt Variabler'!B3</f>
        <v>952.8</v>
      </c>
      <c r="E42" s="220">
        <f>'Oversikt Variabler'!B7*15*'Oversikt Variabler'!B3</f>
        <v>1786.5</v>
      </c>
      <c r="F42" s="197"/>
      <c r="G42" s="1"/>
      <c r="H42" s="1"/>
      <c r="I42" s="1"/>
      <c r="J42" s="1"/>
      <c r="K42" s="1"/>
      <c r="L42" s="162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202" t="s">
        <v>269</v>
      </c>
      <c r="B43" s="203">
        <f>SUM(B38:B42)</f>
        <v>2202.8000000000002</v>
      </c>
      <c r="C43" s="203">
        <f>SUM(C38:C42)</f>
        <v>3036.5</v>
      </c>
      <c r="D43" s="203">
        <f>SUM(D38:D42)</f>
        <v>1927.8</v>
      </c>
      <c r="E43" s="221">
        <f>SUM(E38:E42)</f>
        <v>2761.5</v>
      </c>
      <c r="F43" s="197"/>
      <c r="G43" s="1"/>
      <c r="H43" s="1"/>
      <c r="I43" s="1"/>
      <c r="J43" s="1"/>
      <c r="K43" s="1"/>
      <c r="L43" s="162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23" t="s">
        <v>286</v>
      </c>
      <c r="B44" s="194">
        <f>B45-B43</f>
        <v>-452.80000000000018</v>
      </c>
      <c r="C44" s="194">
        <f>C45-C43</f>
        <v>-486.5</v>
      </c>
      <c r="D44" s="194">
        <f>D45-D43</f>
        <v>22.200000000000045</v>
      </c>
      <c r="E44" s="220">
        <f>E45-E43</f>
        <v>-11.5</v>
      </c>
      <c r="F44" s="197" t="s">
        <v>175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208" t="s">
        <v>272</v>
      </c>
      <c r="B45" s="209">
        <v>1750</v>
      </c>
      <c r="C45" s="209">
        <v>2550</v>
      </c>
      <c r="D45" s="209">
        <v>1950</v>
      </c>
      <c r="E45" s="222">
        <v>2750</v>
      </c>
      <c r="F45" s="19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5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6" t="s">
        <v>294</v>
      </c>
      <c r="B47" s="45"/>
      <c r="C47" s="45"/>
      <c r="D47" s="45"/>
      <c r="E47" s="45"/>
      <c r="F47" s="5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90" t="s">
        <v>255</v>
      </c>
      <c r="B48" s="210" t="s">
        <v>282</v>
      </c>
      <c r="C48" s="1"/>
      <c r="D48" s="1"/>
      <c r="E48" s="1"/>
      <c r="F48" s="5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23" t="s">
        <v>158</v>
      </c>
      <c r="B49" s="220">
        <f>'Oversikt Variabler'!B14</f>
        <v>600</v>
      </c>
      <c r="C49" s="117"/>
      <c r="D49" s="1"/>
      <c r="E49" s="1"/>
      <c r="F49" s="50"/>
      <c r="G49" s="1"/>
      <c r="H49" s="1" t="s">
        <v>295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23" t="s">
        <v>259</v>
      </c>
      <c r="B50" s="220">
        <f>'Oversikt Variabler'!B15</f>
        <v>100</v>
      </c>
      <c r="C50" s="117"/>
      <c r="D50" s="1"/>
      <c r="E50" s="1"/>
      <c r="F50" s="50"/>
      <c r="G50" s="1"/>
      <c r="H50" s="1" t="s">
        <v>296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23" t="s">
        <v>276</v>
      </c>
      <c r="B51" s="220">
        <f>'Oversikt Variabler'!B25</f>
        <v>2000</v>
      </c>
      <c r="C51" s="117"/>
      <c r="D51" s="1"/>
      <c r="E51" s="1"/>
      <c r="F51" s="5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23" t="s">
        <v>297</v>
      </c>
      <c r="B52" s="220">
        <f>'Oversikt Variabler'!B7*21*'Oversikt Variabler'!B3</f>
        <v>2501.1000000000004</v>
      </c>
      <c r="C52" s="117"/>
      <c r="D52" s="1"/>
      <c r="E52" s="1"/>
      <c r="F52" s="5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202" t="s">
        <v>269</v>
      </c>
      <c r="B53" s="221">
        <f>SUM(B48:B52)</f>
        <v>5201.1000000000004</v>
      </c>
      <c r="C53" s="117"/>
      <c r="D53" s="1"/>
      <c r="E53" s="1"/>
      <c r="F53" s="5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23" t="s">
        <v>286</v>
      </c>
      <c r="B54" s="220">
        <f>B55-B53</f>
        <v>-726.10000000000036</v>
      </c>
      <c r="C54" s="117"/>
      <c r="D54" s="1"/>
      <c r="E54" s="1"/>
      <c r="F54" s="5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208" t="s">
        <v>272</v>
      </c>
      <c r="B55" s="222">
        <v>4475</v>
      </c>
      <c r="C55" s="117"/>
      <c r="D55" s="1"/>
      <c r="E55" s="1"/>
      <c r="F55" s="5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5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6" t="s">
        <v>211</v>
      </c>
      <c r="B57" s="45"/>
      <c r="C57" s="45"/>
      <c r="D57" s="45"/>
      <c r="E57" s="45"/>
      <c r="F57" s="5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90" t="s">
        <v>255</v>
      </c>
      <c r="B58" s="223" t="s">
        <v>298</v>
      </c>
      <c r="C58" s="210" t="s">
        <v>299</v>
      </c>
      <c r="D58" s="117"/>
      <c r="E58" s="1"/>
      <c r="F58" s="5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23" t="s">
        <v>158</v>
      </c>
      <c r="B59" s="194">
        <f>'Oversikt Variabler'!B14</f>
        <v>600</v>
      </c>
      <c r="C59" s="220">
        <f>'Oversikt Variabler'!B14</f>
        <v>600</v>
      </c>
      <c r="D59" s="117"/>
      <c r="E59" s="1"/>
      <c r="F59" s="5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23" t="s">
        <v>259</v>
      </c>
      <c r="B60" s="194">
        <f>'Oversikt Variabler'!B15</f>
        <v>100</v>
      </c>
      <c r="C60" s="220">
        <f>'Oversikt Variabler'!B15</f>
        <v>100</v>
      </c>
      <c r="D60" s="117"/>
      <c r="E60" s="1"/>
      <c r="F60" s="5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23" t="s">
        <v>276</v>
      </c>
      <c r="B61" s="194">
        <f>'Oversikt Variabler'!B24</f>
        <v>800</v>
      </c>
      <c r="C61" s="220">
        <f>'Oversikt Variabler'!B24</f>
        <v>800</v>
      </c>
      <c r="D61" s="117"/>
      <c r="E61" s="1"/>
      <c r="F61" s="5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23" t="s">
        <v>300</v>
      </c>
      <c r="B62" s="194">
        <f>'Oversikt Variabler'!B8*18*'Oversikt Variabler'!B3</f>
        <v>1170</v>
      </c>
      <c r="C62" s="220">
        <f>'Oversikt Variabler'!B8*23*'Oversikt Variabler'!B3</f>
        <v>1495</v>
      </c>
      <c r="D62" s="117"/>
      <c r="E62" s="1"/>
      <c r="F62" s="5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202" t="s">
        <v>269</v>
      </c>
      <c r="B63" s="203">
        <f>SUM(B58:B62)</f>
        <v>2670</v>
      </c>
      <c r="C63" s="221">
        <f>SUM(C58:C62)</f>
        <v>2995</v>
      </c>
      <c r="D63" s="117"/>
      <c r="E63" s="1"/>
      <c r="F63" s="5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23" t="s">
        <v>286</v>
      </c>
      <c r="B64" s="194">
        <f>B65-B63</f>
        <v>-420</v>
      </c>
      <c r="C64" s="220">
        <f>C65-C63</f>
        <v>-345</v>
      </c>
      <c r="D64" s="117" t="s">
        <v>175</v>
      </c>
      <c r="E64" s="1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208" t="s">
        <v>272</v>
      </c>
      <c r="B65" s="209">
        <v>2250</v>
      </c>
      <c r="C65" s="222">
        <v>2650</v>
      </c>
      <c r="D65" s="117" t="s">
        <v>175</v>
      </c>
      <c r="E65" s="1"/>
      <c r="F65" s="5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5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45"/>
      <c r="B67" s="45"/>
      <c r="C67" s="45"/>
      <c r="D67" s="45"/>
      <c r="E67" s="45"/>
      <c r="F67" s="5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O74" s="1"/>
      <c r="P74" s="1"/>
      <c r="Q74" s="1"/>
      <c r="R74" s="1"/>
      <c r="S74" s="1"/>
      <c r="T74" s="1"/>
    </row>
  </sheetData>
  <sheetProtection selectLockedCells="1" selectUnlockedCells="1"/>
  <mergeCells count="4">
    <mergeCell ref="H1:H2"/>
    <mergeCell ref="J1:J2"/>
    <mergeCell ref="L1:L2"/>
    <mergeCell ref="N1:N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"/>
  <sheetViews>
    <sheetView showGridLines="0" tabSelected="1" topLeftCell="A13" zoomScale="75" zoomScaleNormal="75" workbookViewId="0">
      <selection activeCell="A22" sqref="A22"/>
    </sheetView>
  </sheetViews>
  <sheetFormatPr defaultColWidth="12.5546875" defaultRowHeight="14.4" x14ac:dyDescent="0.3"/>
  <cols>
    <col min="1" max="1" width="51.5546875" style="1" customWidth="1"/>
    <col min="2" max="2" width="23.77734375" style="1" customWidth="1"/>
    <col min="3" max="3" width="17.77734375" style="1" customWidth="1"/>
    <col min="4" max="4" width="19.77734375" style="1" customWidth="1"/>
    <col min="5" max="5" width="21.44140625" style="1" customWidth="1"/>
    <col min="6" max="6" width="21" style="1" customWidth="1"/>
    <col min="7" max="7" width="14.21875" style="1" customWidth="1"/>
    <col min="8" max="16384" width="12.5546875" style="1"/>
  </cols>
  <sheetData>
    <row r="1" spans="1:8" x14ac:dyDescent="0.3">
      <c r="A1" s="6" t="s">
        <v>301</v>
      </c>
      <c r="B1" s="45"/>
      <c r="C1" s="45"/>
      <c r="D1" s="45"/>
      <c r="E1" s="45"/>
      <c r="F1" s="45"/>
      <c r="G1" s="45"/>
      <c r="H1" s="45"/>
    </row>
    <row r="3" spans="1:8" x14ac:dyDescent="0.3">
      <c r="A3" s="1" t="s">
        <v>302</v>
      </c>
      <c r="B3" s="224">
        <f>'Oversikt Variabler'!E95</f>
        <v>950000</v>
      </c>
    </row>
    <row r="4" spans="1:8" x14ac:dyDescent="0.3">
      <c r="A4" s="1" t="s">
        <v>303</v>
      </c>
      <c r="B4" s="224">
        <f>'Oversikt Variabler'!B97</f>
        <v>414000</v>
      </c>
    </row>
    <row r="5" spans="1:8" x14ac:dyDescent="0.3">
      <c r="A5" s="1" t="s">
        <v>158</v>
      </c>
      <c r="B5" s="224">
        <f>Program!H19</f>
        <v>223800</v>
      </c>
    </row>
    <row r="6" spans="1:8" x14ac:dyDescent="0.3">
      <c r="A6" s="1" t="s">
        <v>304</v>
      </c>
      <c r="B6" s="224">
        <f>'Oversikt Variabler'!B10*'Oversikt Variabler'!B3*14</f>
        <v>16800</v>
      </c>
    </row>
    <row r="7" spans="1:8" x14ac:dyDescent="0.3">
      <c r="A7" s="1" t="s">
        <v>305</v>
      </c>
      <c r="B7" s="225">
        <v>170000</v>
      </c>
      <c r="C7" s="1" t="s">
        <v>306</v>
      </c>
    </row>
    <row r="8" spans="1:8" x14ac:dyDescent="0.3">
      <c r="A8" s="1" t="s">
        <v>307</v>
      </c>
      <c r="B8" s="225">
        <v>450000</v>
      </c>
    </row>
    <row r="9" spans="1:8" x14ac:dyDescent="0.3">
      <c r="A9" s="1" t="s">
        <v>308</v>
      </c>
      <c r="B9" s="225">
        <v>50000</v>
      </c>
    </row>
    <row r="10" spans="1:8" x14ac:dyDescent="0.3">
      <c r="A10" s="1" t="s">
        <v>309</v>
      </c>
      <c r="B10" s="224">
        <f>'Oversikt Variabler'!B11*'Oversikt Variabler'!B3*14</f>
        <v>14000</v>
      </c>
    </row>
    <row r="11" spans="1:8" x14ac:dyDescent="0.3">
      <c r="A11" s="1" t="s">
        <v>19</v>
      </c>
      <c r="B11" s="225">
        <v>180000</v>
      </c>
    </row>
    <row r="12" spans="1:8" x14ac:dyDescent="0.3">
      <c r="A12" s="1" t="s">
        <v>310</v>
      </c>
      <c r="B12" s="224">
        <f>Prosjekter!G16</f>
        <v>240000</v>
      </c>
    </row>
    <row r="13" spans="1:8" x14ac:dyDescent="0.3">
      <c r="A13" s="1" t="s">
        <v>311</v>
      </c>
      <c r="B13" s="225">
        <v>475000</v>
      </c>
    </row>
    <row r="14" spans="1:8" x14ac:dyDescent="0.3">
      <c r="A14" s="1" t="s">
        <v>312</v>
      </c>
      <c r="B14" s="224">
        <f>SUM(B46:B48)</f>
        <v>100000</v>
      </c>
      <c r="C14" s="1" t="s">
        <v>313</v>
      </c>
    </row>
    <row r="15" spans="1:8" x14ac:dyDescent="0.3">
      <c r="A15" s="226" t="s">
        <v>314</v>
      </c>
      <c r="B15" s="227">
        <f>SUM(B3:B14)</f>
        <v>3283600</v>
      </c>
    </row>
    <row r="17" spans="1:8" x14ac:dyDescent="0.3">
      <c r="A17" s="6" t="s">
        <v>315</v>
      </c>
      <c r="B17" s="45"/>
      <c r="C17" s="45"/>
      <c r="D17" s="45"/>
      <c r="E17" s="45"/>
      <c r="F17" s="45"/>
      <c r="G17" s="45"/>
      <c r="H17" s="45"/>
    </row>
    <row r="18" spans="1:8" x14ac:dyDescent="0.3">
      <c r="A18" s="25" t="s">
        <v>316</v>
      </c>
      <c r="B18" s="228" t="s">
        <v>317</v>
      </c>
      <c r="C18" s="228" t="s">
        <v>318</v>
      </c>
      <c r="D18" s="228" t="s">
        <v>319</v>
      </c>
      <c r="E18" s="228" t="s">
        <v>320</v>
      </c>
      <c r="F18" s="118" t="s">
        <v>321</v>
      </c>
      <c r="G18" s="229"/>
    </row>
    <row r="19" spans="1:8" x14ac:dyDescent="0.3">
      <c r="A19" s="230" t="s">
        <v>322</v>
      </c>
      <c r="B19" s="228"/>
      <c r="C19" s="228"/>
      <c r="D19" s="228"/>
      <c r="E19" s="118"/>
      <c r="F19" s="228"/>
      <c r="G19" s="117"/>
    </row>
    <row r="20" spans="1:8" x14ac:dyDescent="0.3">
      <c r="A20" s="1" t="s">
        <v>323</v>
      </c>
      <c r="B20" s="231">
        <v>10000</v>
      </c>
      <c r="C20" s="231"/>
      <c r="D20" s="231">
        <v>4200</v>
      </c>
      <c r="E20" s="231"/>
      <c r="F20" s="232"/>
      <c r="G20" s="233"/>
    </row>
    <row r="21" spans="1:8" x14ac:dyDescent="0.3">
      <c r="A21" s="1" t="s">
        <v>476</v>
      </c>
      <c r="B21" s="231">
        <v>19000</v>
      </c>
      <c r="C21" s="231"/>
      <c r="D21" s="231">
        <v>80000</v>
      </c>
      <c r="E21" s="231"/>
      <c r="F21" s="232"/>
      <c r="G21" s="233"/>
    </row>
    <row r="22" spans="1:8" x14ac:dyDescent="0.3">
      <c r="A22" s="1" t="s">
        <v>324</v>
      </c>
      <c r="B22" s="231">
        <v>5000</v>
      </c>
      <c r="C22" s="231"/>
      <c r="D22" s="231"/>
      <c r="E22" s="231">
        <v>7000</v>
      </c>
      <c r="F22" s="232"/>
      <c r="G22" s="233"/>
    </row>
    <row r="23" spans="1:8" x14ac:dyDescent="0.3">
      <c r="A23" s="1" t="s">
        <v>325</v>
      </c>
      <c r="B23" s="231"/>
      <c r="C23" s="231"/>
      <c r="D23" s="231"/>
      <c r="E23" s="231"/>
      <c r="F23" s="232">
        <v>220000</v>
      </c>
      <c r="G23" s="233"/>
    </row>
    <row r="24" spans="1:8" x14ac:dyDescent="0.3">
      <c r="A24" s="1" t="s">
        <v>326</v>
      </c>
      <c r="B24" s="231"/>
      <c r="C24" s="231"/>
      <c r="D24" s="231"/>
      <c r="E24" s="231"/>
      <c r="F24" s="232">
        <v>120000</v>
      </c>
      <c r="G24" s="233"/>
    </row>
    <row r="25" spans="1:8" x14ac:dyDescent="0.3">
      <c r="A25" s="1" t="s">
        <v>327</v>
      </c>
      <c r="B25" s="231">
        <v>5000</v>
      </c>
      <c r="C25" s="231"/>
      <c r="D25" s="231"/>
      <c r="E25" s="231">
        <v>7000</v>
      </c>
      <c r="F25" s="232"/>
      <c r="G25" s="233"/>
    </row>
    <row r="26" spans="1:8" x14ac:dyDescent="0.3">
      <c r="A26" s="1" t="s">
        <v>328</v>
      </c>
      <c r="B26" s="231">
        <v>30000</v>
      </c>
      <c r="C26" s="231"/>
      <c r="D26" s="231"/>
      <c r="E26" s="231"/>
      <c r="F26" s="232"/>
      <c r="G26" s="233"/>
    </row>
    <row r="27" spans="1:8" x14ac:dyDescent="0.3">
      <c r="A27" s="230" t="s">
        <v>329</v>
      </c>
      <c r="B27" s="234"/>
      <c r="C27" s="234"/>
      <c r="D27" s="234"/>
      <c r="E27" s="235"/>
      <c r="F27" s="234"/>
      <c r="G27" s="233"/>
    </row>
    <row r="28" spans="1:8" x14ac:dyDescent="0.3">
      <c r="A28" s="1" t="s">
        <v>330</v>
      </c>
      <c r="B28" s="231"/>
      <c r="C28" s="231"/>
      <c r="D28" s="231"/>
      <c r="E28" s="231"/>
      <c r="F28" s="232"/>
      <c r="G28" s="233"/>
    </row>
    <row r="29" spans="1:8" x14ac:dyDescent="0.3">
      <c r="A29" s="1" t="s">
        <v>331</v>
      </c>
      <c r="B29" s="231">
        <v>0</v>
      </c>
      <c r="C29" s="231">
        <v>15000</v>
      </c>
      <c r="D29" s="231">
        <v>0</v>
      </c>
      <c r="E29" s="231">
        <v>0</v>
      </c>
      <c r="F29" s="232">
        <v>0</v>
      </c>
      <c r="G29" s="233"/>
    </row>
    <row r="30" spans="1:8" x14ac:dyDescent="0.3">
      <c r="A30" s="1" t="s">
        <v>332</v>
      </c>
      <c r="B30" s="231"/>
      <c r="C30" s="231">
        <v>10000</v>
      </c>
      <c r="D30" s="231"/>
      <c r="E30" s="231"/>
      <c r="F30" s="232"/>
      <c r="G30" s="233"/>
    </row>
    <row r="31" spans="1:8" x14ac:dyDescent="0.3">
      <c r="A31" s="1" t="s">
        <v>333</v>
      </c>
      <c r="B31" s="231"/>
      <c r="C31" s="231">
        <v>3750</v>
      </c>
      <c r="D31" s="231"/>
      <c r="E31" s="231"/>
      <c r="F31" s="232"/>
      <c r="G31" s="233"/>
    </row>
    <row r="32" spans="1:8" x14ac:dyDescent="0.3">
      <c r="A32" s="236" t="s">
        <v>334</v>
      </c>
      <c r="B32" s="237">
        <f>SUM(B20:B31)</f>
        <v>69000</v>
      </c>
      <c r="C32" s="237">
        <f>SUM(C20:C31)</f>
        <v>28750</v>
      </c>
      <c r="D32" s="237">
        <f>SUM(D20:D31)</f>
        <v>84200</v>
      </c>
      <c r="E32" s="237">
        <f>SUM(E20:E31)</f>
        <v>14000</v>
      </c>
      <c r="F32" s="237">
        <f>SUM(F20:F31)</f>
        <v>340000</v>
      </c>
      <c r="G32" s="238">
        <f>SUM(B32:F32)</f>
        <v>535950</v>
      </c>
    </row>
    <row r="33" spans="1:4" x14ac:dyDescent="0.3">
      <c r="B33" s="1" t="s">
        <v>175</v>
      </c>
      <c r="C33" s="1" t="s">
        <v>175</v>
      </c>
    </row>
    <row r="34" spans="1:4" x14ac:dyDescent="0.3">
      <c r="A34" s="115" t="s">
        <v>335</v>
      </c>
      <c r="B34" s="239" t="s">
        <v>336</v>
      </c>
    </row>
    <row r="35" spans="1:4" x14ac:dyDescent="0.3">
      <c r="A35" s="117" t="s">
        <v>337</v>
      </c>
      <c r="B35" s="240">
        <v>50000</v>
      </c>
      <c r="C35" s="1" t="s">
        <v>175</v>
      </c>
    </row>
    <row r="36" spans="1:4" x14ac:dyDescent="0.3">
      <c r="A36" s="117" t="s">
        <v>338</v>
      </c>
      <c r="B36" s="240">
        <v>200000</v>
      </c>
      <c r="C36" s="1" t="s">
        <v>175</v>
      </c>
    </row>
    <row r="37" spans="1:4" x14ac:dyDescent="0.3">
      <c r="A37" s="117" t="s">
        <v>339</v>
      </c>
      <c r="B37" s="240">
        <v>15000</v>
      </c>
      <c r="C37" s="1" t="s">
        <v>175</v>
      </c>
    </row>
    <row r="38" spans="1:4" x14ac:dyDescent="0.3">
      <c r="A38" s="117" t="s">
        <v>340</v>
      </c>
      <c r="B38" s="240">
        <v>30000</v>
      </c>
      <c r="C38" s="1" t="s">
        <v>175</v>
      </c>
    </row>
    <row r="39" spans="1:4" x14ac:dyDescent="0.3">
      <c r="A39" s="117" t="s">
        <v>341</v>
      </c>
      <c r="B39" s="240">
        <v>180000</v>
      </c>
      <c r="C39" s="1" t="s">
        <v>175</v>
      </c>
    </row>
    <row r="40" spans="1:4" x14ac:dyDescent="0.3">
      <c r="A40" s="117" t="s">
        <v>342</v>
      </c>
      <c r="B40" s="240">
        <v>10000</v>
      </c>
      <c r="C40" s="1" t="s">
        <v>343</v>
      </c>
    </row>
    <row r="41" spans="1:4" x14ac:dyDescent="0.3">
      <c r="A41" s="117" t="s">
        <v>307</v>
      </c>
      <c r="B41" s="241">
        <f>B8*0.95</f>
        <v>427500.00000000006</v>
      </c>
      <c r="C41" s="1" t="s">
        <v>175</v>
      </c>
    </row>
    <row r="42" spans="1:4" x14ac:dyDescent="0.3">
      <c r="A42" s="117" t="s">
        <v>300</v>
      </c>
      <c r="B42" s="241">
        <f>(('Oversikt Variabler'!B11*14)+('Oversikt Variabler'!B12))*'Oversikt Variabler'!B4</f>
        <v>14500</v>
      </c>
      <c r="C42" s="1" t="s">
        <v>175</v>
      </c>
      <c r="D42" s="1" t="s">
        <v>344</v>
      </c>
    </row>
    <row r="43" spans="1:4" x14ac:dyDescent="0.3">
      <c r="A43" s="117" t="s">
        <v>345</v>
      </c>
      <c r="B43" s="240">
        <v>0</v>
      </c>
      <c r="C43" s="1" t="s">
        <v>346</v>
      </c>
    </row>
    <row r="44" spans="1:4" x14ac:dyDescent="0.3">
      <c r="A44" s="117" t="s">
        <v>347</v>
      </c>
      <c r="B44" s="240">
        <v>325000</v>
      </c>
      <c r="C44" s="1" t="s">
        <v>348</v>
      </c>
    </row>
    <row r="45" spans="1:4" x14ac:dyDescent="0.3">
      <c r="A45" s="117" t="s">
        <v>112</v>
      </c>
      <c r="B45" s="241">
        <f>B11</f>
        <v>180000</v>
      </c>
      <c r="C45" s="1" t="s">
        <v>348</v>
      </c>
    </row>
    <row r="46" spans="1:4" x14ac:dyDescent="0.3">
      <c r="A46" s="117" t="s">
        <v>349</v>
      </c>
      <c r="B46" s="240">
        <v>20000</v>
      </c>
      <c r="C46" s="1" t="s">
        <v>175</v>
      </c>
      <c r="D46" s="1" t="s">
        <v>350</v>
      </c>
    </row>
    <row r="47" spans="1:4" x14ac:dyDescent="0.3">
      <c r="A47" s="117" t="s">
        <v>351</v>
      </c>
      <c r="B47" s="240">
        <v>40000</v>
      </c>
      <c r="C47" s="1" t="s">
        <v>175</v>
      </c>
    </row>
    <row r="48" spans="1:4" x14ac:dyDescent="0.3">
      <c r="A48" s="121" t="s">
        <v>352</v>
      </c>
      <c r="B48" s="242">
        <v>40000</v>
      </c>
      <c r="C48" s="1" t="s">
        <v>175</v>
      </c>
    </row>
    <row r="49" spans="1:10" x14ac:dyDescent="0.3">
      <c r="A49" s="121" t="s">
        <v>60</v>
      </c>
      <c r="B49" s="242">
        <v>2000</v>
      </c>
      <c r="C49" s="1" t="s">
        <v>175</v>
      </c>
    </row>
    <row r="50" spans="1:10" x14ac:dyDescent="0.3">
      <c r="A50" s="121" t="s">
        <v>72</v>
      </c>
      <c r="B50" s="242">
        <v>10000</v>
      </c>
      <c r="C50" s="1" t="s">
        <v>175</v>
      </c>
    </row>
    <row r="51" spans="1:10" x14ac:dyDescent="0.3">
      <c r="A51" s="121" t="s">
        <v>44</v>
      </c>
      <c r="B51" s="242">
        <v>120000</v>
      </c>
      <c r="C51" s="1" t="s">
        <v>175</v>
      </c>
    </row>
    <row r="52" spans="1:10" x14ac:dyDescent="0.3">
      <c r="A52" s="118" t="s">
        <v>334</v>
      </c>
      <c r="B52" s="243">
        <f>SUM(B35:B51)</f>
        <v>1664000</v>
      </c>
    </row>
    <row r="54" spans="1:10" x14ac:dyDescent="0.3">
      <c r="A54" s="115" t="s">
        <v>353</v>
      </c>
      <c r="B54" s="239" t="s">
        <v>336</v>
      </c>
    </row>
    <row r="55" spans="1:10" x14ac:dyDescent="0.3">
      <c r="A55" s="117" t="s">
        <v>354</v>
      </c>
      <c r="B55" s="240">
        <f>(402000)*1.025</f>
        <v>412049.99999999994</v>
      </c>
      <c r="C55" s="1" t="s">
        <v>175</v>
      </c>
      <c r="D55" s="1" t="s">
        <v>355</v>
      </c>
    </row>
    <row r="56" spans="1:10" x14ac:dyDescent="0.3">
      <c r="A56" s="117" t="s">
        <v>40</v>
      </c>
      <c r="B56" s="241">
        <f>(B55*0.05)+(B68*0.02)</f>
        <v>23482.5</v>
      </c>
      <c r="C56" s="1" t="s">
        <v>175</v>
      </c>
    </row>
    <row r="57" spans="1:10" x14ac:dyDescent="0.3">
      <c r="A57" s="117" t="s">
        <v>356</v>
      </c>
      <c r="B57" s="241">
        <f>(B55*0.102)+(B68*0.102)</f>
        <v>56717.1</v>
      </c>
      <c r="C57" s="1" t="s">
        <v>175</v>
      </c>
    </row>
    <row r="58" spans="1:10" x14ac:dyDescent="0.3">
      <c r="A58" s="117" t="s">
        <v>357</v>
      </c>
      <c r="B58" s="241">
        <f>(B55+B68+B56)*0.141</f>
        <v>81714.082500000004</v>
      </c>
      <c r="C58" s="1" t="s">
        <v>175</v>
      </c>
    </row>
    <row r="59" spans="1:10" x14ac:dyDescent="0.3">
      <c r="A59" s="117" t="s">
        <v>358</v>
      </c>
      <c r="B59" s="240">
        <v>10000</v>
      </c>
      <c r="C59" s="1" t="s">
        <v>175</v>
      </c>
      <c r="I59" s="162"/>
      <c r="J59" s="162"/>
    </row>
    <row r="60" spans="1:10" x14ac:dyDescent="0.3">
      <c r="A60" s="117" t="s">
        <v>51</v>
      </c>
      <c r="B60" s="240">
        <v>15000</v>
      </c>
      <c r="C60" s="1" t="s">
        <v>175</v>
      </c>
    </row>
    <row r="61" spans="1:10" x14ac:dyDescent="0.3">
      <c r="A61" s="117" t="s">
        <v>359</v>
      </c>
      <c r="B61" s="240">
        <v>7500</v>
      </c>
      <c r="C61" s="1" t="s">
        <v>175</v>
      </c>
    </row>
    <row r="62" spans="1:10" x14ac:dyDescent="0.3">
      <c r="A62" s="117" t="s">
        <v>360</v>
      </c>
      <c r="B62" s="240">
        <f>10200*12</f>
        <v>122400</v>
      </c>
      <c r="C62" s="1" t="s">
        <v>175</v>
      </c>
    </row>
    <row r="63" spans="1:10" x14ac:dyDescent="0.3">
      <c r="A63" s="117" t="s">
        <v>361</v>
      </c>
      <c r="B63" s="240">
        <v>20000</v>
      </c>
      <c r="C63" s="1" t="s">
        <v>175</v>
      </c>
    </row>
    <row r="64" spans="1:10" x14ac:dyDescent="0.3">
      <c r="A64" s="117" t="s">
        <v>362</v>
      </c>
      <c r="B64" s="240">
        <v>30000</v>
      </c>
      <c r="C64" s="1" t="s">
        <v>175</v>
      </c>
    </row>
    <row r="65" spans="1:8" x14ac:dyDescent="0.3">
      <c r="A65" s="117" t="s">
        <v>363</v>
      </c>
      <c r="B65" s="240">
        <v>5000</v>
      </c>
      <c r="C65" s="1" t="s">
        <v>175</v>
      </c>
    </row>
    <row r="66" spans="1:8" x14ac:dyDescent="0.3">
      <c r="A66" s="117" t="s">
        <v>58</v>
      </c>
      <c r="B66" s="240">
        <v>90000</v>
      </c>
      <c r="C66" s="1" t="s">
        <v>175</v>
      </c>
    </row>
    <row r="67" spans="1:8" x14ac:dyDescent="0.3">
      <c r="A67" s="117" t="s">
        <v>57</v>
      </c>
      <c r="B67" s="240">
        <v>10000</v>
      </c>
      <c r="C67" s="1" t="s">
        <v>175</v>
      </c>
    </row>
    <row r="68" spans="1:8" x14ac:dyDescent="0.3">
      <c r="A68" s="117" t="s">
        <v>364</v>
      </c>
      <c r="B68" s="240">
        <f>(360000*1)*0.4</f>
        <v>144000</v>
      </c>
      <c r="C68" s="1" t="s">
        <v>175</v>
      </c>
      <c r="D68" s="1" t="s">
        <v>365</v>
      </c>
    </row>
    <row r="69" spans="1:8" x14ac:dyDescent="0.3">
      <c r="A69" s="117" t="s">
        <v>39</v>
      </c>
      <c r="B69" s="240">
        <v>2000</v>
      </c>
    </row>
    <row r="70" spans="1:8" x14ac:dyDescent="0.3">
      <c r="A70" s="117" t="s">
        <v>59</v>
      </c>
      <c r="B70" s="240">
        <v>10000</v>
      </c>
      <c r="C70" s="1" t="s">
        <v>175</v>
      </c>
    </row>
    <row r="71" spans="1:8" ht="12.75" customHeight="1" x14ac:dyDescent="0.3">
      <c r="A71" s="117" t="s">
        <v>366</v>
      </c>
      <c r="B71" s="241">
        <f>'Oversikt Variabler'!B10*'Oversikt Variabler'!B4</f>
        <v>1200</v>
      </c>
      <c r="C71" s="316" t="s">
        <v>367</v>
      </c>
      <c r="D71" s="316"/>
      <c r="E71" s="316"/>
      <c r="F71" s="1" t="s">
        <v>175</v>
      </c>
    </row>
    <row r="72" spans="1:8" x14ac:dyDescent="0.3">
      <c r="A72" s="117" t="s">
        <v>304</v>
      </c>
      <c r="B72" s="241">
        <f>'Oversikt Variabler'!B10*14*'Oversikt Variabler'!B4</f>
        <v>16800</v>
      </c>
      <c r="C72" s="316"/>
      <c r="D72" s="316"/>
      <c r="E72" s="316"/>
      <c r="F72" s="1" t="s">
        <v>175</v>
      </c>
    </row>
    <row r="73" spans="1:8" x14ac:dyDescent="0.3">
      <c r="A73" s="118" t="s">
        <v>334</v>
      </c>
      <c r="B73" s="243">
        <f>SUM(B55:B72)</f>
        <v>1057863.6824999999</v>
      </c>
    </row>
    <row r="75" spans="1:8" x14ac:dyDescent="0.3">
      <c r="A75" s="244" t="s">
        <v>368</v>
      </c>
      <c r="B75" s="245" t="s">
        <v>317</v>
      </c>
      <c r="C75" s="245" t="s">
        <v>318</v>
      </c>
      <c r="D75" s="245" t="s">
        <v>319</v>
      </c>
      <c r="E75" s="245" t="s">
        <v>320</v>
      </c>
      <c r="F75" s="245" t="s">
        <v>369</v>
      </c>
      <c r="G75" s="245" t="s">
        <v>334</v>
      </c>
    </row>
    <row r="76" spans="1:8" x14ac:dyDescent="0.3">
      <c r="A76" s="229" t="s">
        <v>370</v>
      </c>
      <c r="B76" s="246"/>
      <c r="C76" s="246"/>
      <c r="D76" s="246"/>
      <c r="E76" s="246"/>
      <c r="F76" s="246"/>
      <c r="G76" s="237">
        <f t="shared" ref="G76:G81" si="0">SUM(B76:F76)</f>
        <v>0</v>
      </c>
    </row>
    <row r="77" spans="1:8" x14ac:dyDescent="0.3">
      <c r="A77" s="117" t="s">
        <v>371</v>
      </c>
      <c r="B77" s="247"/>
      <c r="C77" s="247"/>
      <c r="D77" s="247"/>
      <c r="E77" s="247"/>
      <c r="F77" s="247"/>
      <c r="G77" s="248">
        <f t="shared" si="0"/>
        <v>0</v>
      </c>
    </row>
    <row r="78" spans="1:8" x14ac:dyDescent="0.3">
      <c r="A78" s="117" t="s">
        <v>372</v>
      </c>
      <c r="B78" s="247"/>
      <c r="C78" s="247"/>
      <c r="D78" s="247"/>
      <c r="E78" s="247"/>
      <c r="F78" s="247"/>
      <c r="G78" s="248">
        <f t="shared" si="0"/>
        <v>0</v>
      </c>
    </row>
    <row r="79" spans="1:8" x14ac:dyDescent="0.3">
      <c r="A79" s="117" t="s">
        <v>373</v>
      </c>
      <c r="B79" s="247"/>
      <c r="C79" s="247"/>
      <c r="D79" s="247"/>
      <c r="E79" s="247"/>
      <c r="F79" s="247">
        <v>25000</v>
      </c>
      <c r="G79" s="248">
        <f t="shared" si="0"/>
        <v>25000</v>
      </c>
      <c r="H79" s="1" t="s">
        <v>374</v>
      </c>
    </row>
    <row r="80" spans="1:8" x14ac:dyDescent="0.3">
      <c r="A80" s="117" t="s">
        <v>375</v>
      </c>
      <c r="B80" s="247"/>
      <c r="C80" s="247"/>
      <c r="D80" s="247"/>
      <c r="E80" s="247"/>
      <c r="F80" s="247"/>
      <c r="G80" s="248">
        <f t="shared" si="0"/>
        <v>0</v>
      </c>
    </row>
    <row r="81" spans="1:8" x14ac:dyDescent="0.3">
      <c r="A81" s="117" t="s">
        <v>376</v>
      </c>
      <c r="B81" s="247"/>
      <c r="C81" s="247"/>
      <c r="D81" s="247"/>
      <c r="E81" s="247">
        <f>Prosjekter!H10+Prosjekter!H11</f>
        <v>140000</v>
      </c>
      <c r="F81" s="247"/>
      <c r="G81" s="248">
        <f t="shared" si="0"/>
        <v>140000</v>
      </c>
      <c r="H81" s="1" t="s">
        <v>377</v>
      </c>
    </row>
    <row r="82" spans="1:8" x14ac:dyDescent="0.3">
      <c r="A82" s="118" t="s">
        <v>334</v>
      </c>
      <c r="B82" s="249">
        <f t="shared" ref="B82:G82" si="1">SUM(B76:B81)</f>
        <v>0</v>
      </c>
      <c r="C82" s="249">
        <f t="shared" si="1"/>
        <v>0</v>
      </c>
      <c r="D82" s="249">
        <f t="shared" si="1"/>
        <v>0</v>
      </c>
      <c r="E82" s="249">
        <f t="shared" si="1"/>
        <v>140000</v>
      </c>
      <c r="F82" s="249">
        <f t="shared" si="1"/>
        <v>25000</v>
      </c>
      <c r="G82" s="250">
        <f t="shared" si="1"/>
        <v>165000</v>
      </c>
    </row>
    <row r="83" spans="1:8" x14ac:dyDescent="0.3">
      <c r="A83" s="236"/>
      <c r="B83" s="236"/>
      <c r="C83" s="236"/>
      <c r="D83" s="236"/>
      <c r="E83" s="236"/>
      <c r="F83" s="1" t="s">
        <v>175</v>
      </c>
    </row>
    <row r="84" spans="1:8" x14ac:dyDescent="0.3">
      <c r="A84" s="115" t="s">
        <v>378</v>
      </c>
      <c r="B84" s="11"/>
      <c r="C84" s="11"/>
      <c r="D84" s="11"/>
      <c r="E84" s="11"/>
      <c r="F84" s="11"/>
      <c r="G84" s="239"/>
    </row>
    <row r="85" spans="1:8" x14ac:dyDescent="0.3">
      <c r="A85" s="229" t="s">
        <v>326</v>
      </c>
      <c r="B85" s="246">
        <v>0</v>
      </c>
      <c r="C85" s="246"/>
      <c r="D85" s="246"/>
      <c r="E85" s="246"/>
      <c r="F85" s="246"/>
      <c r="G85" s="251">
        <f>SUM(B85:F85)</f>
        <v>0</v>
      </c>
    </row>
    <row r="86" spans="1:8" x14ac:dyDescent="0.3">
      <c r="A86" s="117"/>
      <c r="B86" s="247"/>
      <c r="C86" s="247"/>
      <c r="D86" s="247"/>
      <c r="E86" s="247"/>
      <c r="F86" s="247"/>
      <c r="G86" s="252"/>
    </row>
    <row r="87" spans="1:8" x14ac:dyDescent="0.3">
      <c r="A87" s="118" t="s">
        <v>334</v>
      </c>
      <c r="B87" s="249">
        <f t="shared" ref="B87:G87" si="2">SUM(B85:B86)</f>
        <v>0</v>
      </c>
      <c r="C87" s="249">
        <f t="shared" si="2"/>
        <v>0</v>
      </c>
      <c r="D87" s="249">
        <f t="shared" si="2"/>
        <v>0</v>
      </c>
      <c r="E87" s="249">
        <f t="shared" si="2"/>
        <v>0</v>
      </c>
      <c r="F87" s="249">
        <f t="shared" si="2"/>
        <v>0</v>
      </c>
      <c r="G87" s="243">
        <f t="shared" si="2"/>
        <v>0</v>
      </c>
    </row>
    <row r="91" spans="1:8" x14ac:dyDescent="0.3">
      <c r="E91" s="162"/>
    </row>
    <row r="92" spans="1:8" x14ac:dyDescent="0.3">
      <c r="A92" s="16" t="s">
        <v>379</v>
      </c>
    </row>
    <row r="93" spans="1:8" x14ac:dyDescent="0.3">
      <c r="A93" s="1" t="s">
        <v>380</v>
      </c>
      <c r="B93" s="253">
        <f>G32</f>
        <v>535950</v>
      </c>
      <c r="D93" s="253">
        <f>B98-Budsjett_enkel!F74</f>
        <v>0</v>
      </c>
    </row>
    <row r="94" spans="1:8" x14ac:dyDescent="0.3">
      <c r="A94" s="1" t="s">
        <v>381</v>
      </c>
      <c r="B94" s="253">
        <f>B52</f>
        <v>1664000</v>
      </c>
    </row>
    <row r="95" spans="1:8" x14ac:dyDescent="0.3">
      <c r="A95" s="1" t="s">
        <v>382</v>
      </c>
      <c r="B95" s="253">
        <f>B73</f>
        <v>1057863.6824999999</v>
      </c>
    </row>
    <row r="96" spans="1:8" x14ac:dyDescent="0.3">
      <c r="A96" s="1" t="s">
        <v>383</v>
      </c>
      <c r="B96" s="253">
        <f>G82</f>
        <v>165000</v>
      </c>
    </row>
    <row r="97" spans="1:2" x14ac:dyDescent="0.3">
      <c r="A97" s="1" t="s">
        <v>384</v>
      </c>
      <c r="B97" s="253">
        <f>G87</f>
        <v>0</v>
      </c>
    </row>
    <row r="98" spans="1:2" x14ac:dyDescent="0.3">
      <c r="A98" s="236" t="s">
        <v>385</v>
      </c>
      <c r="B98" s="254">
        <f>SUM(B93:B97)</f>
        <v>3422813.6825000001</v>
      </c>
    </row>
  </sheetData>
  <sheetProtection selectLockedCells="1" selectUnlockedCells="1"/>
  <mergeCells count="1">
    <mergeCell ref="C71:E7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5" zoomScaleNormal="75" workbookViewId="0">
      <selection activeCell="D34" sqref="D34"/>
    </sheetView>
  </sheetViews>
  <sheetFormatPr defaultColWidth="12.5546875" defaultRowHeight="14.4" x14ac:dyDescent="0.3"/>
  <cols>
    <col min="1" max="1" width="42.44140625" style="1" customWidth="1"/>
    <col min="2" max="7" width="20.44140625" style="1" customWidth="1"/>
    <col min="8" max="8" width="15.77734375" style="1" customWidth="1"/>
    <col min="9" max="12" width="12.5546875" style="1"/>
    <col min="13" max="13" width="22.77734375" style="1" customWidth="1"/>
    <col min="14" max="16384" width="12.5546875" style="1"/>
  </cols>
  <sheetData>
    <row r="1" spans="1:12" x14ac:dyDescent="0.3">
      <c r="A1" s="255"/>
    </row>
    <row r="2" spans="1:12" x14ac:dyDescent="0.3">
      <c r="A2" s="256" t="s">
        <v>105</v>
      </c>
      <c r="B2" s="236"/>
      <c r="C2" s="236"/>
      <c r="D2" s="236"/>
      <c r="E2" s="236"/>
      <c r="F2" s="236"/>
      <c r="G2" s="46"/>
      <c r="H2" s="245"/>
    </row>
    <row r="3" spans="1:12" x14ac:dyDescent="0.3">
      <c r="A3" s="121"/>
      <c r="B3" s="257" t="s">
        <v>221</v>
      </c>
      <c r="C3" s="257" t="s">
        <v>210</v>
      </c>
      <c r="D3" s="257" t="s">
        <v>274</v>
      </c>
      <c r="E3" s="257" t="s">
        <v>212</v>
      </c>
      <c r="F3" s="257" t="s">
        <v>213</v>
      </c>
      <c r="G3" s="258" t="s">
        <v>211</v>
      </c>
      <c r="H3" s="50" t="s">
        <v>334</v>
      </c>
    </row>
    <row r="4" spans="1:12" x14ac:dyDescent="0.3">
      <c r="A4" s="117" t="s">
        <v>158</v>
      </c>
      <c r="B4" s="259">
        <f>-('Oversikt Variabler'!B14*'Oversikt Variabler'!B29*4)+'Oversikt Variabler'!B14*'Oversikt Variabler'!B30</f>
        <v>-100200</v>
      </c>
      <c r="C4" s="259">
        <f>-('Oversikt Variabler'!B14*'Oversikt Variabler'!B33*4)</f>
        <v>-48000</v>
      </c>
      <c r="D4" s="259">
        <f>-('Oversikt Variabler'!B14*('Oversikt Variabler'!B36*10))</f>
        <v>-48000</v>
      </c>
      <c r="E4" s="259">
        <f>-('Oversikt Variabler'!B14*(('Oversikt Variabler'!B38*6)+('Oversikt Variabler'!B39*6)+'Oversikt Variabler'!B40+'Oversikt Variabler'!B41))</f>
        <v>-15600</v>
      </c>
      <c r="F4" s="259">
        <f>-('Oversikt Variabler'!B14*'Oversikt Variabler'!B45)</f>
        <v>-12000</v>
      </c>
      <c r="G4" s="259">
        <f>-('Oversikt Variabler'!B14*('Oversikt Variabler'!B48+'Oversikt Variabler'!B49))</f>
        <v>0</v>
      </c>
      <c r="H4" s="260">
        <f t="shared" ref="H4:H12" si="0">SUM(B4:G4)</f>
        <v>-223800</v>
      </c>
    </row>
    <row r="5" spans="1:12" x14ac:dyDescent="0.3">
      <c r="A5" s="117" t="s">
        <v>259</v>
      </c>
      <c r="B5" s="259">
        <f>-('Oversikt Variabler'!B15*'Oversikt Variabler'!B29*4)+'Oversikt Variabler'!B15*'Oversikt Variabler'!B30</f>
        <v>-16700</v>
      </c>
      <c r="C5" s="259">
        <f>-('Oversikt Variabler'!B15*'Oversikt Variabler'!B33*4)</f>
        <v>-8000</v>
      </c>
      <c r="D5" s="259">
        <f>-('Oversikt Variabler'!B15*('Oversikt Variabler'!B36*10))</f>
        <v>-8000</v>
      </c>
      <c r="E5" s="259">
        <f>-('Oversikt Variabler'!B15*(('Oversikt Variabler'!B38*6)+('Oversikt Variabler'!B39*6)+'Oversikt Variabler'!B40+'Oversikt Variabler'!B41))</f>
        <v>-2600</v>
      </c>
      <c r="F5" s="259">
        <f>-('Oversikt Variabler'!B15*'Oversikt Variabler'!B45)</f>
        <v>-2000</v>
      </c>
      <c r="G5" s="259">
        <f>-('Oversikt Variabler'!B15*('Oversikt Variabler'!B48+'Oversikt Variabler'!B49))</f>
        <v>0</v>
      </c>
      <c r="H5" s="261">
        <f t="shared" si="0"/>
        <v>-37300</v>
      </c>
    </row>
    <row r="6" spans="1:12" x14ac:dyDescent="0.3">
      <c r="A6" s="117" t="s">
        <v>261</v>
      </c>
      <c r="B6" s="259">
        <f>-('Oversikt Variabler'!B16*'Oversikt Variabler'!B29*4)</f>
        <v>-98000</v>
      </c>
      <c r="C6" s="259">
        <f>-('Oversikt Variabler'!B16*'Oversikt Variabler'!B33*4)</f>
        <v>-40000</v>
      </c>
      <c r="D6" s="259">
        <f>-('Oversikt Variabler'!B16*('Oversikt Variabler'!B36*10))</f>
        <v>-40000</v>
      </c>
      <c r="E6" s="259" t="s">
        <v>262</v>
      </c>
      <c r="F6" s="259" t="s">
        <v>262</v>
      </c>
      <c r="G6" s="259" t="s">
        <v>262</v>
      </c>
      <c r="H6" s="261">
        <f t="shared" si="0"/>
        <v>-178000</v>
      </c>
    </row>
    <row r="7" spans="1:12" x14ac:dyDescent="0.3">
      <c r="A7" s="117" t="s">
        <v>293</v>
      </c>
      <c r="B7" s="259">
        <f>-('Oversikt Variabler'!B17*'Oversikt Variabler'!B29*4)</f>
        <v>-107800</v>
      </c>
      <c r="C7" s="259">
        <f>-('Oversikt Variabler'!B19*'Oversikt Variabler'!B33*4)</f>
        <v>-44000</v>
      </c>
      <c r="D7" s="259">
        <f>-('Oversikt Variabler'!B21*('Oversikt Variabler'!B36*10))</f>
        <v>-28000</v>
      </c>
      <c r="E7" s="259">
        <f>-('Oversikt Variabler'!B22*(('Oversikt Variabler'!B38*6)+('Oversikt Variabler'!B39*6))+('Oversikt Variabler'!B22/2)*('Oversikt Variabler'!B40+'Oversikt Variabler'!B41))</f>
        <v>-12100</v>
      </c>
      <c r="F7" s="259" t="s">
        <v>262</v>
      </c>
      <c r="G7" s="259" t="s">
        <v>262</v>
      </c>
      <c r="H7" s="261">
        <f t="shared" si="0"/>
        <v>-191900</v>
      </c>
      <c r="I7" s="1" t="s">
        <v>386</v>
      </c>
      <c r="K7" s="1">
        <f>H7+H8</f>
        <v>-212200</v>
      </c>
    </row>
    <row r="8" spans="1:12" x14ac:dyDescent="0.3">
      <c r="A8" s="117" t="s">
        <v>266</v>
      </c>
      <c r="B8" s="259">
        <f>-('Oversikt Variabler'!B18*'Oversikt Variabler'!B30)</f>
        <v>-20300</v>
      </c>
      <c r="C8" s="259" t="s">
        <v>262</v>
      </c>
      <c r="D8" s="262" t="s">
        <v>262</v>
      </c>
      <c r="E8" s="259"/>
      <c r="F8" s="259" t="s">
        <v>262</v>
      </c>
      <c r="G8" s="259" t="s">
        <v>262</v>
      </c>
      <c r="H8" s="261">
        <f t="shared" si="0"/>
        <v>-20300</v>
      </c>
    </row>
    <row r="9" spans="1:12" x14ac:dyDescent="0.3">
      <c r="A9" s="117" t="s">
        <v>276</v>
      </c>
      <c r="B9" s="259" t="s">
        <v>262</v>
      </c>
      <c r="C9" s="259">
        <f>-('Oversikt Variabler'!B20*'Oversikt Variabler'!B33*4)</f>
        <v>-60000</v>
      </c>
      <c r="D9" s="259" t="s">
        <v>262</v>
      </c>
      <c r="E9" s="259">
        <f>-('Oversikt Variabler'!B23*(('Oversikt Variabler'!B38*6)+('Oversikt Variabler'!B39*6)+'Oversikt Variabler'!B40+'Oversikt Variabler'!B41))</f>
        <v>0</v>
      </c>
      <c r="F9" s="259">
        <f>-('Oversikt Variabler'!B25*'Oversikt Variabler'!B45)</f>
        <v>-40000</v>
      </c>
      <c r="G9" s="259">
        <f>-('Oversikt Variabler'!B24*('Oversikt Variabler'!B48+'Oversikt Variabler'!B49))</f>
        <v>0</v>
      </c>
      <c r="H9" s="261">
        <f t="shared" si="0"/>
        <v>-100000</v>
      </c>
      <c r="I9" s="1" t="s">
        <v>387</v>
      </c>
      <c r="K9" s="1">
        <f>C9</f>
        <v>-60000</v>
      </c>
    </row>
    <row r="10" spans="1:12" x14ac:dyDescent="0.3">
      <c r="A10" s="117" t="s">
        <v>16</v>
      </c>
      <c r="B10" s="259">
        <f>-('Oversikt Variabler'!B7*28*'Oversikt Variabler'!B3*'Oversikt Variabler'!B29*4)</f>
        <v>-653620.80000000005</v>
      </c>
      <c r="C10" s="259">
        <f>-('Oversikt Variabler'!B7*23*'Oversikt Variabler'!B33*4*'Oversikt Variabler'!B3)</f>
        <v>-219144</v>
      </c>
      <c r="D10" s="259">
        <f>-(('Oversikt Variabler'!B36*10)*'Oversikt Variabler'!B9*'Oversikt Variabler'!B3)</f>
        <v>-78776</v>
      </c>
      <c r="E10" s="259">
        <f>-(((('Oversikt Variabler'!B7*8)*(('Oversikt Variabler'!B38*6)+'Oversikt Variabler'!B40))+(('Oversikt Variabler'!B7*15)*(('Oversikt Variabler'!B39*6)+'Oversikt Variabler'!B41)))*'Oversikt Variabler'!B3)</f>
        <v>-24772.800000000003</v>
      </c>
      <c r="F10" s="259">
        <f>-(('Oversikt Variabler'!B7*'Oversikt Variabler'!B45*'Oversikt Variabler'!B3)*21)</f>
        <v>-50022</v>
      </c>
      <c r="G10" s="259">
        <f>-((('Oversikt Variabler'!B8*'Oversikt Variabler'!B48*18)+('Oversikt Variabler'!B8*'Oversikt Variabler'!B49*23))*'Oversikt Variabler'!B3)</f>
        <v>0</v>
      </c>
      <c r="H10" s="261">
        <f t="shared" si="0"/>
        <v>-1026335.6000000001</v>
      </c>
      <c r="I10" s="1" t="s">
        <v>388</v>
      </c>
      <c r="K10" s="1">
        <f>F9</f>
        <v>-40000</v>
      </c>
    </row>
    <row r="11" spans="1:12" x14ac:dyDescent="0.3">
      <c r="A11" s="117" t="s">
        <v>389</v>
      </c>
      <c r="B11" s="259">
        <f>-(('Oversikt Pris'!B10*'Oversikt Variabler'!C29)+('Oversikt Pris'!C10*'Oversikt Variabler'!D29)+('Oversikt Pris'!D10*'Oversikt Variabler'!E29)+('Oversikt Pris'!E10*'Oversikt Variabler'!F29)+('Oversikt Pris'!F10*'Oversikt Variabler'!B30))</f>
        <v>72249.400000000023</v>
      </c>
      <c r="C11" s="259">
        <f>-(('Oversikt Pris'!B22*'Oversikt Variabler'!C33)+('Oversikt Pris'!C22*'Oversikt Variabler'!D33)+('Oversikt Pris'!D22*'Oversikt Variabler'!E33)+('Oversikt Pris'!E22*'Oversikt Variabler'!F33))</f>
        <v>18786.000000000004</v>
      </c>
      <c r="D11" s="259">
        <f>-('Oversikt Pris'!B33*('Oversikt Variabler'!B36*10))</f>
        <v>18775.999999999985</v>
      </c>
      <c r="E11" s="259">
        <f>-((('Oversikt Pris'!B44*'Oversikt Variabler'!B38)*6)+(('Oversikt Pris'!C44*'Oversikt Variabler'!B39)*6)+('Oversikt Pris'!D44*'Oversikt Variabler'!B40)+('Oversikt Pris'!E44*'Oversikt Variabler'!B41))</f>
        <v>7972.8000000000029</v>
      </c>
      <c r="F11" s="259">
        <f>-('Oversikt Pris'!B54*'Oversikt Variabler'!B45)</f>
        <v>14522.000000000007</v>
      </c>
      <c r="G11" s="259">
        <f>-(('Oversikt Pris'!B64*'Oversikt Variabler'!B48)+('Oversikt Pris'!C64*'Oversikt Variabler'!B49))</f>
        <v>0</v>
      </c>
      <c r="H11" s="261">
        <f t="shared" si="0"/>
        <v>132306.20000000001</v>
      </c>
      <c r="I11" s="1" t="s">
        <v>390</v>
      </c>
      <c r="K11" s="1">
        <f>E9</f>
        <v>0</v>
      </c>
      <c r="L11" s="1" t="s">
        <v>391</v>
      </c>
    </row>
    <row r="12" spans="1:12" x14ac:dyDescent="0.3">
      <c r="A12" s="117" t="s">
        <v>392</v>
      </c>
      <c r="B12" s="259">
        <f>-((('Oversikt Variabler'!B29*5)+'Oversikt Variabler'!B30)*'Oversikt Variabler'!B100)</f>
        <v>-219200</v>
      </c>
      <c r="C12" s="259">
        <f>-(('Oversikt Variabler'!B33*5)*'Oversikt Variabler'!B100)</f>
        <v>-80000</v>
      </c>
      <c r="D12" s="259" t="s">
        <v>262</v>
      </c>
      <c r="E12" s="259">
        <f>-((('Oversikt Variabler'!B38*6)+('Oversikt Variabler'!B39*6)+'Oversikt Variabler'!B40+'Oversikt Variabler'!B41)*'Oversikt Variabler'!B100)</f>
        <v>-20800</v>
      </c>
      <c r="F12" s="259">
        <f>-('Oversikt Variabler'!B100*'Oversikt Variabler'!B45)</f>
        <v>-16000</v>
      </c>
      <c r="G12" s="259">
        <f>-(('Oversikt Variabler'!B48+'Oversikt Variabler'!B49)*'Oversikt Variabler'!B100)</f>
        <v>0</v>
      </c>
      <c r="H12" s="263">
        <f t="shared" si="0"/>
        <v>-336000</v>
      </c>
      <c r="I12" s="1" t="s">
        <v>393</v>
      </c>
      <c r="K12" s="1">
        <f>D7</f>
        <v>-28000</v>
      </c>
    </row>
    <row r="13" spans="1:12" x14ac:dyDescent="0.3">
      <c r="A13" s="264" t="s">
        <v>334</v>
      </c>
      <c r="B13" s="265">
        <f t="shared" ref="B13:H13" si="1">SUM(B4:B12)</f>
        <v>-1143571.3999999999</v>
      </c>
      <c r="C13" s="265">
        <f t="shared" si="1"/>
        <v>-480358</v>
      </c>
      <c r="D13" s="265">
        <f t="shared" si="1"/>
        <v>-184000</v>
      </c>
      <c r="E13" s="265">
        <f t="shared" si="1"/>
        <v>-67900</v>
      </c>
      <c r="F13" s="265">
        <f t="shared" si="1"/>
        <v>-105500</v>
      </c>
      <c r="G13" s="265">
        <f t="shared" si="1"/>
        <v>0</v>
      </c>
      <c r="H13" s="266">
        <f t="shared" si="1"/>
        <v>-1981329.4000000001</v>
      </c>
      <c r="I13" s="1" t="s">
        <v>394</v>
      </c>
      <c r="K13" s="1">
        <f>E7</f>
        <v>-12100</v>
      </c>
    </row>
    <row r="14" spans="1:12" x14ac:dyDescent="0.3">
      <c r="D14" s="123"/>
      <c r="E14" s="123"/>
    </row>
    <row r="16" spans="1:12" x14ac:dyDescent="0.3">
      <c r="A16" s="267" t="s">
        <v>109</v>
      </c>
      <c r="B16" s="236"/>
      <c r="C16" s="236"/>
      <c r="D16" s="236"/>
      <c r="E16" s="236"/>
      <c r="F16" s="236"/>
      <c r="G16" s="236"/>
      <c r="H16" s="46"/>
    </row>
    <row r="17" spans="1:11" x14ac:dyDescent="0.3">
      <c r="A17" s="121"/>
      <c r="B17" s="257" t="s">
        <v>221</v>
      </c>
      <c r="C17" s="257" t="s">
        <v>210</v>
      </c>
      <c r="D17" s="257" t="s">
        <v>274</v>
      </c>
      <c r="E17" s="257" t="s">
        <v>212</v>
      </c>
      <c r="F17" s="257" t="s">
        <v>213</v>
      </c>
      <c r="G17" s="257" t="s">
        <v>211</v>
      </c>
      <c r="H17" s="54" t="s">
        <v>334</v>
      </c>
    </row>
    <row r="18" spans="1:11" x14ac:dyDescent="0.3">
      <c r="A18" s="117" t="s">
        <v>261</v>
      </c>
      <c r="B18" s="268">
        <f>'Oversikt Variabler'!B16*('Oversikt Variabler'!B29*4)</f>
        <v>98000</v>
      </c>
      <c r="C18" s="259">
        <f>'Oversikt Variabler'!B16*'Oversikt Variabler'!B33*4</f>
        <v>40000</v>
      </c>
      <c r="D18" s="259">
        <f>'Oversikt Variabler'!B16*'Oversikt Variabler'!B36*10</f>
        <v>40000</v>
      </c>
      <c r="E18" s="259" t="s">
        <v>262</v>
      </c>
      <c r="F18" s="259" t="s">
        <v>262</v>
      </c>
      <c r="G18" s="259" t="s">
        <v>262</v>
      </c>
      <c r="H18" s="269">
        <f t="shared" ref="H18:H37" si="2">SUM(B18:G18)</f>
        <v>178000</v>
      </c>
    </row>
    <row r="19" spans="1:11" x14ac:dyDescent="0.3">
      <c r="A19" s="117" t="s">
        <v>395</v>
      </c>
      <c r="B19" s="268">
        <f t="shared" ref="B19:G19" si="3">-B4</f>
        <v>100200</v>
      </c>
      <c r="C19" s="259">
        <f t="shared" si="3"/>
        <v>48000</v>
      </c>
      <c r="D19" s="259">
        <f t="shared" si="3"/>
        <v>48000</v>
      </c>
      <c r="E19" s="259">
        <f t="shared" si="3"/>
        <v>15600</v>
      </c>
      <c r="F19" s="259">
        <f t="shared" si="3"/>
        <v>12000</v>
      </c>
      <c r="G19" s="259">
        <f t="shared" si="3"/>
        <v>0</v>
      </c>
      <c r="H19" s="269">
        <f t="shared" si="2"/>
        <v>223800</v>
      </c>
      <c r="I19" s="1" t="s">
        <v>396</v>
      </c>
    </row>
    <row r="20" spans="1:11" x14ac:dyDescent="0.3">
      <c r="A20" s="117" t="s">
        <v>397</v>
      </c>
      <c r="B20" s="268">
        <f>'Oversikt Variabler'!B77*'Oversikt Variabler'!D77</f>
        <v>1600</v>
      </c>
      <c r="C20" s="259">
        <f>'Oversikt Variabler'!B82*'Oversikt Variabler'!D82</f>
        <v>1600</v>
      </c>
      <c r="D20" s="259" t="s">
        <v>262</v>
      </c>
      <c r="E20" s="259" t="s">
        <v>262</v>
      </c>
      <c r="F20" s="259" t="s">
        <v>262</v>
      </c>
      <c r="G20" s="259" t="s">
        <v>262</v>
      </c>
      <c r="H20" s="269">
        <f t="shared" si="2"/>
        <v>3200</v>
      </c>
    </row>
    <row r="21" spans="1:11" x14ac:dyDescent="0.3">
      <c r="A21" s="117" t="s">
        <v>398</v>
      </c>
      <c r="B21" s="268">
        <f>'Oversikt Variabler'!B78*'Oversikt Variabler'!D78</f>
        <v>1600</v>
      </c>
      <c r="C21" s="259">
        <f>'Oversikt Variabler'!B83*'Oversikt Variabler'!D83</f>
        <v>1600</v>
      </c>
      <c r="D21" s="259" t="s">
        <v>262</v>
      </c>
      <c r="E21" s="259" t="s">
        <v>262</v>
      </c>
      <c r="F21" s="259" t="s">
        <v>262</v>
      </c>
      <c r="G21" s="259" t="s">
        <v>262</v>
      </c>
      <c r="H21" s="269">
        <f t="shared" si="2"/>
        <v>3200</v>
      </c>
    </row>
    <row r="22" spans="1:11" x14ac:dyDescent="0.3">
      <c r="A22" s="117" t="s">
        <v>399</v>
      </c>
      <c r="B22" s="268">
        <f>'Oversikt Variabler'!B79*'Oversikt Variabler'!D79</f>
        <v>2000</v>
      </c>
      <c r="C22" s="259">
        <f>'Oversikt Variabler'!B84*'Oversikt Variabler'!D84</f>
        <v>2000</v>
      </c>
      <c r="D22" s="259" t="s">
        <v>262</v>
      </c>
      <c r="E22" s="259" t="s">
        <v>262</v>
      </c>
      <c r="F22" s="259" t="s">
        <v>262</v>
      </c>
      <c r="G22" s="259" t="s">
        <v>262</v>
      </c>
      <c r="H22" s="269">
        <f t="shared" si="2"/>
        <v>4000</v>
      </c>
    </row>
    <row r="23" spans="1:11" x14ac:dyDescent="0.3">
      <c r="A23" s="117" t="s">
        <v>110</v>
      </c>
      <c r="B23" s="268">
        <f>'Oversikt Variabler'!B31*'Oversikt Variabler'!B69</f>
        <v>450000</v>
      </c>
      <c r="C23" s="259">
        <f>'Oversikt Variabler'!B70*'Oversikt Variabler'!B34</f>
        <v>180000</v>
      </c>
      <c r="D23" s="259" t="s">
        <v>262</v>
      </c>
      <c r="E23" s="259">
        <f>('Oversikt Variabler'!B71*'Oversikt Variabler'!B42)+('Oversikt Variabler'!B72*'Oversikt Variabler'!B43)</f>
        <v>30000</v>
      </c>
      <c r="F23" s="259">
        <f>'Oversikt Variabler'!B73*'Oversikt Variabler'!B46</f>
        <v>40000</v>
      </c>
      <c r="G23" s="259">
        <f>'Oversikt Variabler'!B74*('Oversikt Variabler'!B50+'Oversikt Variabler'!B52)</f>
        <v>0</v>
      </c>
      <c r="H23" s="269">
        <f t="shared" si="2"/>
        <v>700000</v>
      </c>
    </row>
    <row r="24" spans="1:11" x14ac:dyDescent="0.3">
      <c r="A24" s="117" t="s">
        <v>400</v>
      </c>
      <c r="B24" s="268">
        <f>'Oversikt Variabler'!B88*'Oversikt Variabler'!D88*('Oversikt Variabler'!B29+'Oversikt Variabler'!B30)</f>
        <v>35490</v>
      </c>
      <c r="C24" s="259">
        <f>'Oversikt Variabler'!B88*'Oversikt Variabler'!D88*'Oversikt Variabler'!B33</f>
        <v>9100</v>
      </c>
      <c r="D24" s="259">
        <f>'Oversikt Variabler'!B88*'Oversikt Variabler'!D88*('Oversikt Variabler'!B36*2)</f>
        <v>7280</v>
      </c>
      <c r="E24" s="259">
        <f>('Oversikt Variabler'!B38+'Oversikt Variabler'!B39)*'Oversikt Variabler'!B88*'Oversikt Variabler'!D88</f>
        <v>1365</v>
      </c>
      <c r="F24" s="259" t="s">
        <v>262</v>
      </c>
      <c r="G24" s="259">
        <f>('Oversikt Variabler'!B51+'Oversikt Variabler'!B53)*'Oversikt Variabler'!B88*'Oversikt Variabler'!D88</f>
        <v>0</v>
      </c>
      <c r="H24" s="269">
        <f t="shared" si="2"/>
        <v>53235</v>
      </c>
      <c r="I24" s="1" t="s">
        <v>401</v>
      </c>
      <c r="K24" s="1">
        <f>H24+H25+H26+H27+H28+H29+H32+H33</f>
        <v>267451.2</v>
      </c>
    </row>
    <row r="25" spans="1:11" x14ac:dyDescent="0.3">
      <c r="A25" s="117" t="s">
        <v>402</v>
      </c>
      <c r="B25" s="268">
        <f>('Oversikt Variabler'!B29+'Oversikt Variabler'!B30)*'Oversikt Variabler'!C88*'Oversikt Variabler'!D88</f>
        <v>22815</v>
      </c>
      <c r="C25" s="259">
        <f>'Oversikt Variabler'!B33*'Oversikt Variabler'!C88*'Oversikt Variabler'!D88</f>
        <v>5850</v>
      </c>
      <c r="D25" s="259">
        <f>'Oversikt Variabler'!B36*'Oversikt Variabler'!C88*'Oversikt Variabler'!D88*2</f>
        <v>4680</v>
      </c>
      <c r="E25" s="259">
        <f>'Oversikt Variabler'!C88*'Oversikt Variabler'!D88*('Oversikt Variabler'!B38+'Oversikt Variabler'!B39)</f>
        <v>877.5</v>
      </c>
      <c r="F25" s="259" t="s">
        <v>262</v>
      </c>
      <c r="G25" s="259">
        <f>('Oversikt Variabler'!B51+'Oversikt Variabler'!B53)*'Oversikt Variabler'!C88*'Oversikt Variabler'!D88</f>
        <v>0</v>
      </c>
      <c r="H25" s="269">
        <f t="shared" si="2"/>
        <v>34222.5</v>
      </c>
    </row>
    <row r="26" spans="1:11" x14ac:dyDescent="0.3">
      <c r="A26" s="117" t="s">
        <v>403</v>
      </c>
      <c r="B26" s="268">
        <f>('Oversikt Variabler'!B29+'Oversikt Variabler'!B30+('Oversikt Variabler'!B31*5))*'Oversikt Variabler'!B87*'Oversikt Variabler'!D87</f>
        <v>39655</v>
      </c>
      <c r="C26" s="259">
        <f>'Oversikt Variabler'!B87*'Oversikt Variabler'!D87*'Oversikt Variabler'!B33</f>
        <v>7700.0000000000009</v>
      </c>
      <c r="D26" s="259">
        <f>'Oversikt Variabler'!B36*'Oversikt Variabler'!B87*'Oversikt Variabler'!D87*2</f>
        <v>6160.0000000000009</v>
      </c>
      <c r="E26" s="259">
        <f>('Oversikt Variabler'!B38+'Oversikt Variabler'!B39)*'Oversikt Variabler'!B87*'Oversikt Variabler'!D87</f>
        <v>1155</v>
      </c>
      <c r="F26" s="259">
        <f>'Oversikt Variabler'!B45*'Oversikt Variabler'!B87*'Oversikt Variabler'!D87</f>
        <v>7700.0000000000009</v>
      </c>
      <c r="G26" s="259">
        <f>('Oversikt Variabler'!B51+'Oversikt Variabler'!B53)*'Oversikt Variabler'!B87*'Oversikt Variabler'!D87</f>
        <v>0</v>
      </c>
      <c r="H26" s="269">
        <f t="shared" si="2"/>
        <v>62370</v>
      </c>
    </row>
    <row r="27" spans="1:11" x14ac:dyDescent="0.3">
      <c r="A27" s="117" t="s">
        <v>404</v>
      </c>
      <c r="B27" s="268">
        <f>('Oversikt Variabler'!B29+'Oversikt Variabler'!B30+('Oversikt Variabler'!B31*5))*'Oversikt Variabler'!C87*'Oversikt Variabler'!D87</f>
        <v>25492.500000000004</v>
      </c>
      <c r="C27" s="259">
        <f>'Oversikt Variabler'!B33*'Oversikt Variabler'!C87*'Oversikt Variabler'!D87</f>
        <v>4950</v>
      </c>
      <c r="D27" s="259">
        <f>'Oversikt Variabler'!C87*'Oversikt Variabler'!D87*'Oversikt Variabler'!B36*2</f>
        <v>3960.0000000000005</v>
      </c>
      <c r="E27" s="259">
        <f>'Oversikt Variabler'!C87*'Oversikt Variabler'!D87*(('Oversikt Variabler'!B38+'Oversikt Variabler'!B39)+('Oversikt Variabler'!B42*4+'Oversikt Variabler'!B43*4))</f>
        <v>2722.5000000000005</v>
      </c>
      <c r="F27" s="259">
        <f>'Oversikt Variabler'!C87*'Oversikt Variabler'!D87*'Oversikt Variabler'!B45</f>
        <v>4950.0000000000009</v>
      </c>
      <c r="G27" s="259">
        <f>('Oversikt Variabler'!B51+'Oversikt Variabler'!B53)*'Oversikt Variabler'!C87*'Oversikt Variabler'!D87</f>
        <v>0</v>
      </c>
      <c r="H27" s="269">
        <f t="shared" si="2"/>
        <v>42075.000000000007</v>
      </c>
    </row>
    <row r="28" spans="1:11" x14ac:dyDescent="0.3">
      <c r="A28" s="117" t="s">
        <v>405</v>
      </c>
      <c r="B28" s="268">
        <f>'Oversikt Variabler'!B31*5*'Oversikt Variabler'!B89*'Oversikt Variabler'!D89</f>
        <v>11375</v>
      </c>
      <c r="C28" s="259">
        <f>'Oversikt Variabler'!B89*'Oversikt Variabler'!D89*('Oversikt Variabler'!B34*5)</f>
        <v>6825</v>
      </c>
      <c r="D28" s="259">
        <f>('Oversikt Variabler'!B36*'Oversikt Variabler'!B89)*'Oversikt Variabler'!D89</f>
        <v>3640</v>
      </c>
      <c r="E28" s="259">
        <f>('Oversikt Variabler'!B42*4+'Oversikt Variabler'!B43*4)*'Oversikt Variabler'!B89*'Oversikt Variabler'!D89</f>
        <v>3640</v>
      </c>
      <c r="F28" s="259">
        <f>'Oversikt Variabler'!B46*'Oversikt Variabler'!B89*5*'Oversikt Variabler'!D89</f>
        <v>2275</v>
      </c>
      <c r="G28" s="259" t="s">
        <v>262</v>
      </c>
      <c r="H28" s="269">
        <f t="shared" si="2"/>
        <v>27755</v>
      </c>
    </row>
    <row r="29" spans="1:11" x14ac:dyDescent="0.3">
      <c r="A29" s="117" t="s">
        <v>406</v>
      </c>
      <c r="B29" s="268">
        <f>'Oversikt Variabler'!B31*5*'Oversikt Variabler'!C89*'Oversikt Variabler'!D89</f>
        <v>14625</v>
      </c>
      <c r="C29" s="259">
        <f>'Oversikt Variabler'!B34*5*'Oversikt Variabler'!C89*'Oversikt Variabler'!D89</f>
        <v>8775</v>
      </c>
      <c r="D29" s="259">
        <f>('Oversikt Variabler'!B36*'Oversikt Variabler'!C89)*'Oversikt Variabler'!D89</f>
        <v>4680</v>
      </c>
      <c r="E29" s="259">
        <f>'Oversikt Variabler'!C89*'Oversikt Variabler'!D89*('Oversikt Variabler'!B42*4+'Oversikt Variabler'!B43*4)</f>
        <v>4680</v>
      </c>
      <c r="F29" s="259">
        <f>'Oversikt Variabler'!C89*'Oversikt Variabler'!D89*5*'Oversikt Variabler'!B46</f>
        <v>2925</v>
      </c>
      <c r="G29" s="259" t="s">
        <v>262</v>
      </c>
      <c r="H29" s="269">
        <f t="shared" si="2"/>
        <v>35685</v>
      </c>
    </row>
    <row r="30" spans="1:11" x14ac:dyDescent="0.3">
      <c r="A30" s="117" t="s">
        <v>407</v>
      </c>
      <c r="B30" s="259" t="s">
        <v>262</v>
      </c>
      <c r="C30" s="259">
        <f>('Oversikt Variabler'!B33*5)*'Oversikt Variabler'!B90*'Oversikt Variabler'!D90</f>
        <v>35000</v>
      </c>
      <c r="D30" s="259" t="s">
        <v>262</v>
      </c>
      <c r="E30" s="259"/>
      <c r="F30" s="259" t="s">
        <v>262</v>
      </c>
      <c r="G30" s="259" t="s">
        <v>262</v>
      </c>
      <c r="H30" s="269">
        <f t="shared" si="2"/>
        <v>35000</v>
      </c>
      <c r="I30" s="1" t="s">
        <v>408</v>
      </c>
      <c r="J30" s="1">
        <f>H30+H31</f>
        <v>70000</v>
      </c>
    </row>
    <row r="31" spans="1:11" x14ac:dyDescent="0.3">
      <c r="A31" s="117" t="s">
        <v>409</v>
      </c>
      <c r="B31" s="259" t="s">
        <v>262</v>
      </c>
      <c r="C31" s="259">
        <f>'Oversikt Variabler'!C90*'Oversikt Variabler'!D90*('Oversikt Variabler'!B33*5)</f>
        <v>35000</v>
      </c>
      <c r="D31" s="259" t="s">
        <v>262</v>
      </c>
      <c r="E31" s="259"/>
      <c r="F31" s="259" t="s">
        <v>262</v>
      </c>
      <c r="G31" s="259" t="s">
        <v>262</v>
      </c>
      <c r="H31" s="269">
        <f t="shared" si="2"/>
        <v>35000</v>
      </c>
      <c r="I31" s="1" t="s">
        <v>410</v>
      </c>
      <c r="K31" s="1">
        <f>F34+F35</f>
        <v>41400</v>
      </c>
    </row>
    <row r="32" spans="1:11" x14ac:dyDescent="0.3">
      <c r="A32" s="117" t="s">
        <v>411</v>
      </c>
      <c r="B32" s="268">
        <f>'Oversikt Variabler'!B31*'Oversikt Variabler'!B91*'Oversikt Variabler'!D91</f>
        <v>2600</v>
      </c>
      <c r="C32" s="259">
        <f>'Oversikt Variabler'!B34*'Oversikt Variabler'!B91*'Oversikt Variabler'!D91</f>
        <v>1560</v>
      </c>
      <c r="D32" s="259" t="s">
        <v>262</v>
      </c>
      <c r="E32" s="259">
        <f>'Oversikt Variabler'!B91-'Oversikt Variabler'!D91*('Oversikt Variabler'!B42+'Oversikt Variabler'!B43)</f>
        <v>798.7</v>
      </c>
      <c r="F32" s="259" t="s">
        <v>262</v>
      </c>
      <c r="G32" s="259" t="s">
        <v>262</v>
      </c>
      <c r="H32" s="269">
        <f t="shared" si="2"/>
        <v>4958.7</v>
      </c>
      <c r="I32" s="1" t="s">
        <v>412</v>
      </c>
      <c r="K32" s="1">
        <f>D24+D25+D26+D27+D28+D29</f>
        <v>30400</v>
      </c>
    </row>
    <row r="33" spans="1:11" x14ac:dyDescent="0.3">
      <c r="A33" s="117" t="s">
        <v>413</v>
      </c>
      <c r="B33" s="268">
        <f>'Oversikt Variabler'!B31*'Oversikt Variabler'!C91*'Oversikt Variabler'!D91</f>
        <v>3575</v>
      </c>
      <c r="C33" s="259">
        <f>'Oversikt Variabler'!C91*'Oversikt Variabler'!D91*'Oversikt Variabler'!B34</f>
        <v>2145</v>
      </c>
      <c r="D33" s="259" t="s">
        <v>262</v>
      </c>
      <c r="E33" s="259">
        <f>('Oversikt Variabler'!B42+'Oversikt Variabler'!B43)*'Oversikt Variabler'!C91*'Oversikt Variabler'!D91</f>
        <v>1430</v>
      </c>
      <c r="F33" s="259" t="s">
        <v>262</v>
      </c>
      <c r="G33" s="259" t="s">
        <v>262</v>
      </c>
      <c r="H33" s="269">
        <f t="shared" si="2"/>
        <v>7150</v>
      </c>
    </row>
    <row r="34" spans="1:11" x14ac:dyDescent="0.3">
      <c r="A34" s="117" t="s">
        <v>414</v>
      </c>
      <c r="B34" s="259" t="s">
        <v>262</v>
      </c>
      <c r="C34" s="259" t="s">
        <v>262</v>
      </c>
      <c r="D34" s="259" t="s">
        <v>262</v>
      </c>
      <c r="E34" s="259" t="s">
        <v>262</v>
      </c>
      <c r="F34" s="259">
        <f>'Oversikt Variabler'!B92*'Oversikt Variabler'!D92*'Oversikt Variabler'!B45</f>
        <v>19800</v>
      </c>
      <c r="G34" s="259" t="s">
        <v>262</v>
      </c>
      <c r="H34" s="269">
        <f t="shared" si="2"/>
        <v>19800</v>
      </c>
      <c r="I34" s="1" t="s">
        <v>390</v>
      </c>
      <c r="K34" s="1">
        <f>E30+E31</f>
        <v>0</v>
      </c>
    </row>
    <row r="35" spans="1:11" x14ac:dyDescent="0.3">
      <c r="A35" s="117" t="s">
        <v>415</v>
      </c>
      <c r="B35" s="259" t="s">
        <v>262</v>
      </c>
      <c r="C35" s="259" t="s">
        <v>262</v>
      </c>
      <c r="D35" s="259" t="s">
        <v>262</v>
      </c>
      <c r="E35" s="259" t="s">
        <v>262</v>
      </c>
      <c r="F35" s="259">
        <f>'Oversikt Variabler'!B45*'Oversikt Variabler'!C92*'Oversikt Variabler'!D92</f>
        <v>21600</v>
      </c>
      <c r="G35" s="259" t="s">
        <v>262</v>
      </c>
      <c r="H35" s="269">
        <f t="shared" si="2"/>
        <v>21600</v>
      </c>
      <c r="I35" s="1" t="s">
        <v>394</v>
      </c>
      <c r="K35" s="1">
        <f>E24+E25+E26+E27+E28</f>
        <v>9760</v>
      </c>
    </row>
    <row r="36" spans="1:11" x14ac:dyDescent="0.3">
      <c r="A36" s="117" t="s">
        <v>16</v>
      </c>
      <c r="B36" s="268">
        <f>('Oversikt Variabler'!B7*28*'Oversikt Variabler'!B3)*('Oversikt Variabler'!B29*4)+('Oversikt Variabler'!B30*'Oversikt Variabler'!B7*'Oversikt Variabler'!B3*28)</f>
        <v>750330</v>
      </c>
      <c r="C36" s="259">
        <f>'Oversikt Variabler'!B7*'Oversikt Variabler'!B3*'Oversikt Variabler'!B33*4*23</f>
        <v>219144</v>
      </c>
      <c r="D36" s="259">
        <f>'Oversikt Variabler'!B9*'Oversikt Variabler'!B4*'Oversikt Variabler'!B36*10</f>
        <v>78776</v>
      </c>
      <c r="E36" s="259">
        <f>('Oversikt Variabler'!B7*'Oversikt Variabler'!B4*8*4*'Oversikt Variabler'!B38)+('Oversikt Variabler'!B39*15*'Oversikt Variabler'!B7*'Oversikt Variabler'!B4*4)+('Oversikt Variabler'!B40*'Oversikt Variabler'!B7*'Oversikt Variabler'!B4*8)+('Oversikt Variabler'!B41*15*'Oversikt Variabler'!B7*'Oversikt Variabler'!B4)</f>
        <v>19056</v>
      </c>
      <c r="F36" s="259">
        <f>'Oversikt Variabler'!B7*'Oversikt Variabler'!B3*'Oversikt Variabler'!B45*21</f>
        <v>50022</v>
      </c>
      <c r="G36" s="259">
        <f>(('Oversikt Variabler'!B59*'Oversikt Variabler'!B51*18)+('Oversikt Variabler'!B59*'Oversikt Variabler'!B53*23))*'Oversikt Variabler'!B4</f>
        <v>0</v>
      </c>
      <c r="H36" s="269">
        <f t="shared" si="2"/>
        <v>1117328</v>
      </c>
    </row>
    <row r="37" spans="1:11" x14ac:dyDescent="0.3">
      <c r="A37" s="117" t="s">
        <v>416</v>
      </c>
      <c r="B37" s="268">
        <f>-('Oversikt Variabler'!B57*'Oversikt Variabler'!B3*'Oversikt Variabler'!B31)</f>
        <v>-476279.99999999994</v>
      </c>
      <c r="C37" s="259">
        <f>-('Oversikt Variabler'!B58*'Oversikt Variabler'!B34*'Oversikt Variabler'!B4)</f>
        <v>-156616.44840000002</v>
      </c>
      <c r="D37" s="259" t="s">
        <v>262</v>
      </c>
      <c r="E37" s="259">
        <f>-(('Oversikt Variabler'!B60*15*('Oversikt Variabler'!B41+('Oversikt Variabler'!B39*4)))+('Oversikt Variabler'!B60*8*('Oversikt Variabler'!B40+('Oversikt Variabler'!B38*4))))*'Oversikt Variabler'!B3</f>
        <v>-10080</v>
      </c>
      <c r="F37" s="259">
        <f>-('Oversikt Variabler'!B60*21*'Oversikt Variabler'!B46*'Oversikt Variabler'!B4*25)</f>
        <v>-33074.999999999993</v>
      </c>
      <c r="G37" s="259"/>
      <c r="H37" s="269">
        <f t="shared" si="2"/>
        <v>-676051.44839999999</v>
      </c>
    </row>
    <row r="38" spans="1:11" x14ac:dyDescent="0.3">
      <c r="A38" s="270" t="s">
        <v>417</v>
      </c>
      <c r="B38" s="271">
        <f t="shared" ref="B38:H38" si="4">SUM(B18:B37)</f>
        <v>1083077.5</v>
      </c>
      <c r="C38" s="271">
        <f t="shared" si="4"/>
        <v>452632.55160000001</v>
      </c>
      <c r="D38" s="271">
        <f t="shared" si="4"/>
        <v>197176</v>
      </c>
      <c r="E38" s="271">
        <f t="shared" si="4"/>
        <v>71244.7</v>
      </c>
      <c r="F38" s="271">
        <f t="shared" si="4"/>
        <v>128197</v>
      </c>
      <c r="G38" s="271">
        <f t="shared" si="4"/>
        <v>0</v>
      </c>
      <c r="H38" s="272">
        <f t="shared" si="4"/>
        <v>1932327.7516000001</v>
      </c>
    </row>
    <row r="39" spans="1:11" x14ac:dyDescent="0.3">
      <c r="A39" s="1" t="s">
        <v>84</v>
      </c>
      <c r="B39" s="268">
        <f t="shared" ref="B39:G39" si="5">-B5</f>
        <v>16700</v>
      </c>
      <c r="C39" s="268">
        <f t="shared" si="5"/>
        <v>8000</v>
      </c>
      <c r="D39" s="268">
        <f t="shared" si="5"/>
        <v>8000</v>
      </c>
      <c r="E39" s="268">
        <f t="shared" si="5"/>
        <v>2600</v>
      </c>
      <c r="F39" s="268">
        <f t="shared" si="5"/>
        <v>2000</v>
      </c>
      <c r="G39" s="268">
        <f t="shared" si="5"/>
        <v>0</v>
      </c>
      <c r="H39" s="268">
        <f>SUM(B39:G39)</f>
        <v>37300</v>
      </c>
    </row>
    <row r="40" spans="1:11" x14ac:dyDescent="0.3">
      <c r="A40" s="1" t="s">
        <v>418</v>
      </c>
      <c r="B40" s="268">
        <f t="shared" ref="B40:G40" si="6">B38+B39</f>
        <v>1099777.5</v>
      </c>
      <c r="C40" s="268">
        <f t="shared" si="6"/>
        <v>460632.55160000001</v>
      </c>
      <c r="D40" s="268">
        <f t="shared" si="6"/>
        <v>205176</v>
      </c>
      <c r="E40" s="268">
        <f t="shared" si="6"/>
        <v>73844.7</v>
      </c>
      <c r="F40" s="268">
        <f t="shared" si="6"/>
        <v>130197</v>
      </c>
      <c r="G40" s="268">
        <f t="shared" si="6"/>
        <v>0</v>
      </c>
      <c r="H40" s="268">
        <f>SUM(B40:G40)</f>
        <v>1969627.7515999998</v>
      </c>
    </row>
    <row r="41" spans="1:11" x14ac:dyDescent="0.3">
      <c r="A41" s="273" t="s">
        <v>419</v>
      </c>
      <c r="B41" s="274">
        <f t="shared" ref="B41:H41" si="7">-(B13+B40)</f>
        <v>43793.899999999907</v>
      </c>
      <c r="C41" s="274">
        <f t="shared" si="7"/>
        <v>19725.448399999994</v>
      </c>
      <c r="D41" s="274">
        <f t="shared" si="7"/>
        <v>-21176</v>
      </c>
      <c r="E41" s="274">
        <f t="shared" si="7"/>
        <v>-5944.6999999999971</v>
      </c>
      <c r="F41" s="274">
        <f t="shared" si="7"/>
        <v>-24697</v>
      </c>
      <c r="G41" s="274">
        <f t="shared" si="7"/>
        <v>0</v>
      </c>
      <c r="H41" s="274">
        <f t="shared" si="7"/>
        <v>11701.648400000297</v>
      </c>
    </row>
    <row r="42" spans="1:11" x14ac:dyDescent="0.3">
      <c r="D42" s="1" t="s">
        <v>420</v>
      </c>
      <c r="H42" s="275"/>
    </row>
    <row r="43" spans="1:11" x14ac:dyDescent="0.3">
      <c r="A43" s="1" t="s">
        <v>421</v>
      </c>
      <c r="E43" s="1" t="s">
        <v>422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75" zoomScaleNormal="75" workbookViewId="0">
      <selection activeCell="I24" sqref="I24"/>
    </sheetView>
  </sheetViews>
  <sheetFormatPr defaultColWidth="12.5546875" defaultRowHeight="14.4" x14ac:dyDescent="0.3"/>
  <cols>
    <col min="1" max="1" width="27.5546875" style="1" customWidth="1"/>
    <col min="2" max="12" width="15" style="1" customWidth="1"/>
    <col min="13" max="16384" width="12.5546875" style="1"/>
  </cols>
  <sheetData>
    <row r="1" spans="1:13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x14ac:dyDescent="0.3">
      <c r="A2" s="244" t="s">
        <v>109</v>
      </c>
      <c r="B2" s="228" t="s">
        <v>221</v>
      </c>
      <c r="C2" s="228" t="s">
        <v>210</v>
      </c>
      <c r="D2" s="228" t="s">
        <v>274</v>
      </c>
      <c r="E2" s="228" t="s">
        <v>212</v>
      </c>
      <c r="F2" s="228" t="s">
        <v>213</v>
      </c>
      <c r="G2" s="228" t="s">
        <v>211</v>
      </c>
      <c r="H2" s="228" t="s">
        <v>423</v>
      </c>
      <c r="I2" s="228" t="s">
        <v>424</v>
      </c>
      <c r="J2" s="228" t="s">
        <v>425</v>
      </c>
      <c r="K2" s="228" t="s">
        <v>426</v>
      </c>
      <c r="L2" s="118" t="s">
        <v>427</v>
      </c>
      <c r="M2" s="228" t="s">
        <v>334</v>
      </c>
    </row>
    <row r="3" spans="1:13" x14ac:dyDescent="0.3">
      <c r="A3" s="197" t="s">
        <v>428</v>
      </c>
      <c r="B3" s="276">
        <v>4500</v>
      </c>
      <c r="C3" s="276">
        <v>1500</v>
      </c>
      <c r="D3" s="276">
        <v>1500</v>
      </c>
      <c r="E3" s="276">
        <v>1500</v>
      </c>
      <c r="F3" s="276">
        <v>1500</v>
      </c>
      <c r="G3" s="276">
        <v>1000</v>
      </c>
      <c r="H3" s="276">
        <v>3000</v>
      </c>
      <c r="I3" s="276">
        <v>1500</v>
      </c>
      <c r="J3" s="276">
        <v>4500</v>
      </c>
      <c r="K3" s="276">
        <v>4500</v>
      </c>
      <c r="L3" s="277">
        <v>5000</v>
      </c>
      <c r="M3" s="278">
        <f t="shared" ref="M3:M17" si="0">SUM(B3:L3)</f>
        <v>30000</v>
      </c>
    </row>
    <row r="4" spans="1:13" x14ac:dyDescent="0.3">
      <c r="A4" s="197" t="s">
        <v>324</v>
      </c>
      <c r="B4" s="276">
        <v>4500</v>
      </c>
      <c r="C4" s="276">
        <v>1500</v>
      </c>
      <c r="D4" s="276">
        <v>1500</v>
      </c>
      <c r="E4" s="276">
        <v>2500</v>
      </c>
      <c r="F4" s="276">
        <v>2500</v>
      </c>
      <c r="G4" s="276">
        <v>1000</v>
      </c>
      <c r="H4" s="276">
        <v>3000</v>
      </c>
      <c r="I4" s="276">
        <v>2500</v>
      </c>
      <c r="J4" s="276">
        <v>4500</v>
      </c>
      <c r="K4" s="276">
        <v>4500</v>
      </c>
      <c r="L4" s="277">
        <v>5000</v>
      </c>
      <c r="M4" s="278">
        <f t="shared" si="0"/>
        <v>33000</v>
      </c>
    </row>
    <row r="5" spans="1:13" x14ac:dyDescent="0.3">
      <c r="A5" s="197" t="s">
        <v>429</v>
      </c>
      <c r="B5" s="276" t="s">
        <v>262</v>
      </c>
      <c r="C5" s="276" t="s">
        <v>262</v>
      </c>
      <c r="D5" s="276" t="s">
        <v>262</v>
      </c>
      <c r="E5" s="276" t="s">
        <v>262</v>
      </c>
      <c r="F5" s="276" t="s">
        <v>262</v>
      </c>
      <c r="G5" s="276" t="s">
        <v>262</v>
      </c>
      <c r="H5" s="276" t="s">
        <v>262</v>
      </c>
      <c r="I5" s="276" t="s">
        <v>262</v>
      </c>
      <c r="J5" s="276" t="s">
        <v>262</v>
      </c>
      <c r="K5" s="276" t="s">
        <v>262</v>
      </c>
      <c r="L5" s="277" t="s">
        <v>262</v>
      </c>
      <c r="M5" s="278">
        <f t="shared" si="0"/>
        <v>0</v>
      </c>
    </row>
    <row r="6" spans="1:13" x14ac:dyDescent="0.3">
      <c r="A6" s="197" t="s">
        <v>430</v>
      </c>
      <c r="B6" s="276"/>
      <c r="C6" s="276"/>
      <c r="D6" s="276"/>
      <c r="E6" s="276"/>
      <c r="F6" s="276"/>
      <c r="G6" s="276"/>
      <c r="H6" s="276"/>
      <c r="I6" s="276"/>
      <c r="J6" s="276"/>
      <c r="K6" s="276">
        <v>10000</v>
      </c>
      <c r="L6" s="277"/>
      <c r="M6" s="278">
        <f t="shared" si="0"/>
        <v>10000</v>
      </c>
    </row>
    <row r="7" spans="1:13" x14ac:dyDescent="0.3">
      <c r="A7" s="197" t="s">
        <v>431</v>
      </c>
      <c r="B7" s="276"/>
      <c r="C7" s="276"/>
      <c r="D7" s="276"/>
      <c r="E7" s="276"/>
      <c r="F7" s="276"/>
      <c r="G7" s="276"/>
      <c r="H7" s="276"/>
      <c r="I7" s="276"/>
      <c r="J7" s="276"/>
      <c r="K7" s="276">
        <v>1000</v>
      </c>
      <c r="L7" s="277"/>
      <c r="M7" s="278">
        <f t="shared" si="0"/>
        <v>1000</v>
      </c>
    </row>
    <row r="8" spans="1:13" x14ac:dyDescent="0.3">
      <c r="A8" s="197" t="s">
        <v>432</v>
      </c>
      <c r="B8" s="279"/>
      <c r="C8" s="280">
        <v>6000</v>
      </c>
      <c r="D8" s="279"/>
      <c r="E8" s="279"/>
      <c r="F8" s="279"/>
      <c r="G8" s="279"/>
      <c r="H8" s="280">
        <f>1000</f>
        <v>1000</v>
      </c>
      <c r="I8" s="279"/>
      <c r="J8" s="279"/>
      <c r="K8" s="280">
        <v>6000</v>
      </c>
      <c r="L8" s="281"/>
      <c r="M8" s="278">
        <f t="shared" si="0"/>
        <v>13000</v>
      </c>
    </row>
    <row r="9" spans="1:13" x14ac:dyDescent="0.3">
      <c r="A9" s="197" t="s">
        <v>433</v>
      </c>
      <c r="B9" s="276"/>
      <c r="C9" s="276"/>
      <c r="D9" s="276"/>
      <c r="E9" s="276"/>
      <c r="F9" s="276"/>
      <c r="G9" s="276"/>
      <c r="H9" s="276"/>
      <c r="I9" s="276"/>
      <c r="J9" s="276"/>
      <c r="K9" s="276">
        <v>4500</v>
      </c>
      <c r="L9" s="277"/>
      <c r="M9" s="278">
        <f t="shared" si="0"/>
        <v>4500</v>
      </c>
    </row>
    <row r="10" spans="1:13" x14ac:dyDescent="0.3">
      <c r="A10" s="197" t="s">
        <v>434</v>
      </c>
      <c r="B10" s="276"/>
      <c r="C10" s="276"/>
      <c r="D10" s="276"/>
      <c r="E10" s="276"/>
      <c r="F10" s="276"/>
      <c r="G10" s="276"/>
      <c r="H10" s="276">
        <v>4500</v>
      </c>
      <c r="I10" s="276"/>
      <c r="J10" s="276"/>
      <c r="K10" s="276"/>
      <c r="L10" s="277"/>
      <c r="M10" s="278">
        <f t="shared" si="0"/>
        <v>4500</v>
      </c>
    </row>
    <row r="11" spans="1:13" x14ac:dyDescent="0.3">
      <c r="A11" s="197" t="s">
        <v>435</v>
      </c>
      <c r="B11" s="276"/>
      <c r="C11" s="276"/>
      <c r="D11" s="276"/>
      <c r="E11" s="276"/>
      <c r="F11" s="276"/>
      <c r="G11" s="276"/>
      <c r="H11" s="276">
        <v>4500</v>
      </c>
      <c r="I11" s="276"/>
      <c r="J11" s="276"/>
      <c r="K11" s="276"/>
      <c r="L11" s="277"/>
      <c r="M11" s="278">
        <f t="shared" si="0"/>
        <v>4500</v>
      </c>
    </row>
    <row r="12" spans="1:13" x14ac:dyDescent="0.3">
      <c r="A12" s="197" t="s">
        <v>436</v>
      </c>
      <c r="B12" s="276"/>
      <c r="C12" s="276"/>
      <c r="D12" s="276"/>
      <c r="E12" s="276"/>
      <c r="F12" s="276"/>
      <c r="G12" s="276"/>
      <c r="H12" s="276">
        <v>4500</v>
      </c>
      <c r="I12" s="276"/>
      <c r="J12" s="276"/>
      <c r="K12" s="276"/>
      <c r="L12" s="277"/>
      <c r="M12" s="278">
        <f t="shared" si="0"/>
        <v>4500</v>
      </c>
    </row>
    <row r="13" spans="1:13" x14ac:dyDescent="0.3">
      <c r="A13" s="197" t="s">
        <v>437</v>
      </c>
      <c r="B13" s="276"/>
      <c r="C13" s="276"/>
      <c r="D13" s="276"/>
      <c r="E13" s="276"/>
      <c r="F13" s="276"/>
      <c r="G13" s="276"/>
      <c r="H13" s="276">
        <v>3000</v>
      </c>
      <c r="I13" s="276"/>
      <c r="J13" s="276"/>
      <c r="K13" s="276"/>
      <c r="L13" s="277"/>
      <c r="M13" s="278">
        <f t="shared" si="0"/>
        <v>3000</v>
      </c>
    </row>
    <row r="14" spans="1:13" x14ac:dyDescent="0.3">
      <c r="A14" s="197" t="s">
        <v>438</v>
      </c>
      <c r="B14" s="276"/>
      <c r="C14" s="276"/>
      <c r="D14" s="276"/>
      <c r="E14" s="276"/>
      <c r="F14" s="276"/>
      <c r="G14" s="276"/>
      <c r="H14" s="276">
        <v>4000</v>
      </c>
      <c r="I14" s="276"/>
      <c r="J14" s="276"/>
      <c r="K14" s="276"/>
      <c r="L14" s="277"/>
      <c r="M14" s="278">
        <f t="shared" si="0"/>
        <v>4000</v>
      </c>
    </row>
    <row r="15" spans="1:13" x14ac:dyDescent="0.3">
      <c r="A15" s="197" t="s">
        <v>439</v>
      </c>
      <c r="B15" s="276"/>
      <c r="C15" s="276"/>
      <c r="D15" s="276"/>
      <c r="E15" s="276"/>
      <c r="F15" s="276"/>
      <c r="G15" s="276"/>
      <c r="H15" s="276">
        <v>4000</v>
      </c>
      <c r="I15" s="276"/>
      <c r="J15" s="276"/>
      <c r="K15" s="276"/>
      <c r="L15" s="277"/>
      <c r="M15" s="278">
        <f t="shared" si="0"/>
        <v>4000</v>
      </c>
    </row>
    <row r="16" spans="1:13" x14ac:dyDescent="0.3">
      <c r="A16" s="282" t="s">
        <v>440</v>
      </c>
      <c r="B16" s="283"/>
      <c r="C16" s="283"/>
      <c r="D16" s="283"/>
      <c r="E16" s="283"/>
      <c r="F16" s="283"/>
      <c r="G16" s="283"/>
      <c r="H16" s="283">
        <v>6000</v>
      </c>
      <c r="I16" s="283"/>
      <c r="J16" s="283"/>
      <c r="K16" s="284"/>
      <c r="L16" s="283"/>
      <c r="M16" s="278">
        <f t="shared" si="0"/>
        <v>6000</v>
      </c>
    </row>
    <row r="17" spans="1:13" x14ac:dyDescent="0.3">
      <c r="A17" s="285" t="s">
        <v>334</v>
      </c>
      <c r="B17" s="285">
        <f t="shared" ref="B17:L17" si="1">SUM(B3:B16)</f>
        <v>9000</v>
      </c>
      <c r="C17" s="285">
        <f t="shared" si="1"/>
        <v>9000</v>
      </c>
      <c r="D17" s="285">
        <f t="shared" si="1"/>
        <v>3000</v>
      </c>
      <c r="E17" s="285">
        <f t="shared" si="1"/>
        <v>4000</v>
      </c>
      <c r="F17" s="285">
        <f t="shared" si="1"/>
        <v>4000</v>
      </c>
      <c r="G17" s="285">
        <f t="shared" si="1"/>
        <v>2000</v>
      </c>
      <c r="H17" s="285">
        <f t="shared" si="1"/>
        <v>37500</v>
      </c>
      <c r="I17" s="285">
        <f t="shared" si="1"/>
        <v>4000</v>
      </c>
      <c r="J17" s="285">
        <f t="shared" si="1"/>
        <v>9000</v>
      </c>
      <c r="K17" s="285">
        <f t="shared" si="1"/>
        <v>30500</v>
      </c>
      <c r="L17" s="286">
        <f t="shared" si="1"/>
        <v>10000</v>
      </c>
      <c r="M17" s="287">
        <f t="shared" si="0"/>
        <v>122000</v>
      </c>
    </row>
    <row r="18" spans="1:13" x14ac:dyDescent="0.3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x14ac:dyDescent="0.3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3" x14ac:dyDescent="0.3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3" x14ac:dyDescent="0.3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6" spans="1:13" x14ac:dyDescent="0.3">
      <c r="G26" s="16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showGridLines="0" topLeftCell="B1" zoomScale="75" zoomScaleNormal="75" workbookViewId="0">
      <selection activeCell="F6" sqref="F6"/>
    </sheetView>
  </sheetViews>
  <sheetFormatPr defaultColWidth="12.5546875" defaultRowHeight="12.75" customHeight="1" x14ac:dyDescent="0.25"/>
  <cols>
    <col min="1" max="1" width="43.77734375" style="288" customWidth="1"/>
    <col min="2" max="2" width="34.21875" style="288" customWidth="1"/>
    <col min="3" max="3" width="17.21875" style="288" customWidth="1"/>
    <col min="4" max="5" width="17.77734375" style="288" customWidth="1"/>
    <col min="6" max="6" width="18.44140625" style="288" customWidth="1"/>
    <col min="7" max="7" width="19.21875" style="288" customWidth="1"/>
    <col min="8" max="8" width="18.77734375" style="288" customWidth="1"/>
    <col min="9" max="9" width="77.77734375" style="288" customWidth="1"/>
    <col min="10" max="16384" width="12.5546875" style="288"/>
  </cols>
  <sheetData>
    <row r="1" spans="1:9" ht="18" customHeight="1" x14ac:dyDescent="0.25">
      <c r="A1" s="317" t="s">
        <v>441</v>
      </c>
      <c r="B1" s="317"/>
      <c r="C1" s="317"/>
      <c r="D1" s="317"/>
    </row>
    <row r="2" spans="1:9" ht="38.25" customHeight="1" x14ac:dyDescent="0.25">
      <c r="A2" s="289"/>
      <c r="B2" s="289"/>
      <c r="C2" s="289"/>
      <c r="D2" s="289"/>
      <c r="E2" s="290" t="s">
        <v>442</v>
      </c>
      <c r="F2" s="290" t="s">
        <v>443</v>
      </c>
      <c r="G2" s="290" t="s">
        <v>444</v>
      </c>
      <c r="H2" s="291" t="s">
        <v>445</v>
      </c>
      <c r="I2" s="289"/>
    </row>
    <row r="3" spans="1:9" ht="12.75" customHeight="1" x14ac:dyDescent="0.25">
      <c r="A3" s="292" t="s">
        <v>446</v>
      </c>
      <c r="B3" s="292" t="s">
        <v>447</v>
      </c>
      <c r="C3" s="292" t="s">
        <v>448</v>
      </c>
      <c r="D3" s="293" t="s">
        <v>449</v>
      </c>
      <c r="E3" s="294" t="s">
        <v>219</v>
      </c>
      <c r="F3" s="293" t="s">
        <v>450</v>
      </c>
      <c r="G3" s="293" t="s">
        <v>451</v>
      </c>
      <c r="H3" s="293" t="s">
        <v>452</v>
      </c>
      <c r="I3" s="293" t="s">
        <v>453</v>
      </c>
    </row>
    <row r="4" spans="1:9" ht="12.75" customHeight="1" x14ac:dyDescent="0.25">
      <c r="A4" s="295" t="s">
        <v>454</v>
      </c>
      <c r="B4" s="295" t="s">
        <v>455</v>
      </c>
      <c r="C4" s="296">
        <v>42268</v>
      </c>
      <c r="D4" s="297">
        <v>30000</v>
      </c>
      <c r="E4" s="297">
        <v>30000</v>
      </c>
      <c r="F4" s="297">
        <v>30000</v>
      </c>
      <c r="G4" s="297"/>
      <c r="H4" s="297"/>
      <c r="I4" s="298"/>
    </row>
    <row r="5" spans="1:9" ht="12.75" customHeight="1" x14ac:dyDescent="0.25">
      <c r="A5" s="295" t="s">
        <v>456</v>
      </c>
      <c r="B5" s="295" t="s">
        <v>457</v>
      </c>
      <c r="C5" s="299" t="s">
        <v>458</v>
      </c>
      <c r="D5" s="297">
        <v>750000</v>
      </c>
      <c r="E5" s="297">
        <v>750000</v>
      </c>
      <c r="F5" s="297">
        <v>620000</v>
      </c>
      <c r="G5" s="297">
        <v>130000</v>
      </c>
      <c r="H5" s="297"/>
      <c r="I5" s="298" t="s">
        <v>459</v>
      </c>
    </row>
    <row r="6" spans="1:9" ht="12.75" customHeight="1" x14ac:dyDescent="0.25">
      <c r="A6" s="295" t="s">
        <v>460</v>
      </c>
      <c r="B6" s="295" t="s">
        <v>461</v>
      </c>
      <c r="C6" s="299">
        <v>2015</v>
      </c>
      <c r="D6" s="297">
        <v>150000</v>
      </c>
      <c r="E6" s="297">
        <v>150000</v>
      </c>
      <c r="F6" s="297">
        <v>150000</v>
      </c>
      <c r="G6" s="297">
        <v>10000</v>
      </c>
      <c r="H6" s="297"/>
      <c r="I6" s="298"/>
    </row>
    <row r="7" spans="1:9" ht="12.75" customHeight="1" x14ac:dyDescent="0.25">
      <c r="A7" s="295" t="s">
        <v>462</v>
      </c>
      <c r="B7" s="295" t="s">
        <v>463</v>
      </c>
      <c r="C7" s="299">
        <v>2015</v>
      </c>
      <c r="D7" s="297">
        <v>190000</v>
      </c>
      <c r="E7" s="297">
        <v>190000</v>
      </c>
      <c r="F7" s="297">
        <v>190000</v>
      </c>
      <c r="G7" s="297">
        <f>E7*0</f>
        <v>0</v>
      </c>
      <c r="H7" s="297"/>
      <c r="I7" s="298"/>
    </row>
    <row r="8" spans="1:9" ht="12.75" customHeight="1" x14ac:dyDescent="0.25">
      <c r="A8" s="295" t="s">
        <v>464</v>
      </c>
      <c r="B8" s="295" t="s">
        <v>465</v>
      </c>
      <c r="C8" s="299">
        <v>2015</v>
      </c>
      <c r="D8" s="297">
        <v>70000</v>
      </c>
      <c r="E8" s="297">
        <v>70000</v>
      </c>
      <c r="F8" s="297">
        <v>70000</v>
      </c>
      <c r="G8" s="297"/>
      <c r="H8" s="297"/>
      <c r="I8" s="298"/>
    </row>
    <row r="9" spans="1:9" ht="12.75" customHeight="1" x14ac:dyDescent="0.25">
      <c r="A9" s="295" t="s">
        <v>466</v>
      </c>
      <c r="B9" s="295" t="s">
        <v>467</v>
      </c>
      <c r="C9" s="299" t="s">
        <v>468</v>
      </c>
      <c r="D9" s="297">
        <v>100000</v>
      </c>
      <c r="E9" s="297">
        <v>100000</v>
      </c>
      <c r="F9" s="297">
        <v>0</v>
      </c>
      <c r="G9" s="297">
        <v>100000</v>
      </c>
      <c r="H9" s="297"/>
      <c r="I9" s="298"/>
    </row>
    <row r="10" spans="1:9" ht="12.75" customHeight="1" x14ac:dyDescent="0.25">
      <c r="A10" s="295" t="s">
        <v>469</v>
      </c>
      <c r="B10" s="295" t="s">
        <v>470</v>
      </c>
      <c r="C10" s="299">
        <v>2015</v>
      </c>
      <c r="D10" s="297">
        <v>70000</v>
      </c>
      <c r="E10" s="297">
        <v>70000</v>
      </c>
      <c r="F10" s="297">
        <v>140000</v>
      </c>
      <c r="G10" s="297"/>
      <c r="H10" s="297">
        <v>70000</v>
      </c>
      <c r="I10" s="298" t="s">
        <v>471</v>
      </c>
    </row>
    <row r="11" spans="1:9" ht="12.75" customHeight="1" x14ac:dyDescent="0.25">
      <c r="A11" s="295" t="s">
        <v>472</v>
      </c>
      <c r="B11" s="295" t="s">
        <v>470</v>
      </c>
      <c r="C11" s="299">
        <v>2015</v>
      </c>
      <c r="D11" s="297">
        <v>70000</v>
      </c>
      <c r="E11" s="297">
        <v>70000</v>
      </c>
      <c r="F11" s="297">
        <v>140000</v>
      </c>
      <c r="G11" s="297"/>
      <c r="H11" s="297">
        <v>70000</v>
      </c>
      <c r="I11" s="298" t="s">
        <v>471</v>
      </c>
    </row>
    <row r="12" spans="1:9" ht="12.75" customHeight="1" x14ac:dyDescent="0.25">
      <c r="A12" s="295" t="s">
        <v>473</v>
      </c>
      <c r="B12" s="295" t="s">
        <v>474</v>
      </c>
      <c r="C12" s="299"/>
      <c r="D12" s="300"/>
      <c r="E12" s="300"/>
      <c r="F12" s="300"/>
      <c r="G12" s="300"/>
      <c r="H12" s="300"/>
      <c r="I12" s="298"/>
    </row>
    <row r="13" spans="1:9" ht="12.75" customHeight="1" x14ac:dyDescent="0.25">
      <c r="A13" s="295"/>
      <c r="B13" s="295"/>
      <c r="C13" s="296"/>
      <c r="D13" s="300"/>
      <c r="E13" s="300"/>
      <c r="F13" s="300"/>
      <c r="G13" s="300"/>
      <c r="H13" s="300"/>
      <c r="I13" s="298"/>
    </row>
    <row r="14" spans="1:9" ht="12.75" customHeight="1" x14ac:dyDescent="0.25">
      <c r="A14" s="295"/>
      <c r="B14" s="295"/>
      <c r="C14" s="299"/>
      <c r="D14" s="300"/>
      <c r="E14" s="300"/>
      <c r="F14" s="300"/>
      <c r="G14" s="300"/>
      <c r="H14" s="300"/>
      <c r="I14" s="298"/>
    </row>
    <row r="15" spans="1:9" ht="12.75" customHeight="1" x14ac:dyDescent="0.25">
      <c r="A15" s="295"/>
      <c r="B15" s="295"/>
      <c r="C15" s="299"/>
      <c r="D15" s="300"/>
      <c r="E15" s="300"/>
      <c r="F15" s="300"/>
      <c r="G15" s="300"/>
      <c r="H15" s="300"/>
      <c r="I15" s="298"/>
    </row>
    <row r="16" spans="1:9" ht="12.75" customHeight="1" x14ac:dyDescent="0.25">
      <c r="A16" s="301"/>
      <c r="B16" s="301"/>
      <c r="C16" s="301"/>
      <c r="D16" s="302">
        <f>SUM(D4:D15)</f>
        <v>1430000</v>
      </c>
      <c r="E16" s="302">
        <f>SUM(E4:E15)</f>
        <v>1430000</v>
      </c>
      <c r="F16" s="302">
        <f>SUM(F4:F15)</f>
        <v>1340000</v>
      </c>
      <c r="G16" s="302">
        <f>SUM(G4:G15)</f>
        <v>240000</v>
      </c>
      <c r="H16" s="302">
        <f>SUM(H4:H15)</f>
        <v>140000</v>
      </c>
      <c r="I16" s="303"/>
    </row>
    <row r="17" spans="1:9" ht="12.75" customHeight="1" x14ac:dyDescent="0.25">
      <c r="A17" s="304"/>
      <c r="B17" s="304"/>
      <c r="C17" s="305"/>
      <c r="D17" s="305"/>
      <c r="E17" s="305"/>
      <c r="F17" s="305"/>
      <c r="G17" s="305"/>
      <c r="H17" s="305"/>
      <c r="I17" s="305"/>
    </row>
    <row r="20" spans="1:9" ht="12.75" customHeight="1" x14ac:dyDescent="0.25">
      <c r="A20" s="306"/>
    </row>
    <row r="22" spans="1:9" ht="12.75" customHeight="1" x14ac:dyDescent="0.25">
      <c r="A22" s="318" t="s">
        <v>475</v>
      </c>
      <c r="B22" s="318"/>
      <c r="C22" s="318"/>
    </row>
    <row r="23" spans="1:9" ht="12.75" customHeight="1" x14ac:dyDescent="0.25">
      <c r="A23" s="318"/>
      <c r="B23" s="318"/>
      <c r="C23" s="318"/>
    </row>
    <row r="24" spans="1:9" ht="12.75" customHeight="1" x14ac:dyDescent="0.25">
      <c r="A24" s="318"/>
      <c r="B24" s="318"/>
      <c r="C24" s="318"/>
    </row>
    <row r="25" spans="1:9" ht="12.75" customHeight="1" x14ac:dyDescent="0.25">
      <c r="A25" s="318"/>
      <c r="B25" s="318"/>
      <c r="C25" s="318"/>
    </row>
  </sheetData>
  <sheetProtection selectLockedCells="1" selectUnlockedCells="1"/>
  <mergeCells count="2">
    <mergeCell ref="A1:D1"/>
    <mergeCell ref="A22:C2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Budsjettanalyse</vt:lpstr>
      <vt:lpstr>Budsjett_enkel</vt:lpstr>
      <vt:lpstr>FinansFond</vt:lpstr>
      <vt:lpstr>Oversikt Variabler</vt:lpstr>
      <vt:lpstr>Oversikt Pris</vt:lpstr>
      <vt:lpstr>Sentralt</vt:lpstr>
      <vt:lpstr>Program</vt:lpstr>
      <vt:lpstr>Komiteer</vt:lpstr>
      <vt:lpstr>Prosjekter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Mjelva</dc:creator>
  <cp:lastModifiedBy>Andreas Mjelva</cp:lastModifiedBy>
  <dcterms:created xsi:type="dcterms:W3CDTF">2015-04-13T13:38:58Z</dcterms:created>
  <dcterms:modified xsi:type="dcterms:W3CDTF">2015-04-13T13:38:58Z</dcterms:modified>
</cp:coreProperties>
</file>